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te_V\Documents\IEPIRKUMI\Iepirkumi\2018\ATKLATIE\Kiegelceplis buvnieciba\"/>
    </mc:Choice>
  </mc:AlternateContent>
  <bookViews>
    <workbookView xWindow="0" yWindow="0" windowWidth="21600" windowHeight="9735" tabRatio="843"/>
  </bookViews>
  <sheets>
    <sheet name="Kopsavilkums" sheetId="41" r:id="rId1"/>
    <sheet name="0-0" sheetId="38" r:id="rId2"/>
    <sheet name="0-1" sheetId="57" r:id="rId3"/>
    <sheet name="1-1" sheetId="40" r:id="rId4"/>
    <sheet name="1-2" sheetId="42" r:id="rId5"/>
    <sheet name="1-3" sheetId="43" r:id="rId6"/>
    <sheet name="1-4" sheetId="45" r:id="rId7"/>
    <sheet name="1-5" sheetId="59" r:id="rId8"/>
    <sheet name="1-6" sheetId="47" r:id="rId9"/>
    <sheet name="1-7" sheetId="48" r:id="rId10"/>
    <sheet name="1-8" sheetId="60" r:id="rId11"/>
    <sheet name="1-9" sheetId="72" r:id="rId12"/>
    <sheet name="1-10" sheetId="73" r:id="rId13"/>
    <sheet name="1-11" sheetId="74" r:id="rId14"/>
    <sheet name="1-12" sheetId="75" r:id="rId15"/>
    <sheet name="1-13" sheetId="67" r:id="rId16"/>
    <sheet name="2-1" sheetId="76" r:id="rId17"/>
    <sheet name="2-2" sheetId="77" r:id="rId18"/>
    <sheet name="2-3" sheetId="61" r:id="rId19"/>
    <sheet name="2-4" sheetId="64" r:id="rId20"/>
    <sheet name="2-5" sheetId="65" r:id="rId21"/>
    <sheet name="2-6" sheetId="66" r:id="rId22"/>
    <sheet name="3-1" sheetId="68" r:id="rId23"/>
    <sheet name="3-2" sheetId="70" r:id="rId24"/>
    <sheet name="3-3" sheetId="78" r:id="rId25"/>
    <sheet name="4-1" sheetId="71" r:id="rId26"/>
  </sheets>
  <definedNames>
    <definedName name="_xlnm._FilterDatabase" localSheetId="1" hidden="1">'0-0'!$A$12:$I$37</definedName>
    <definedName name="_xlnm._FilterDatabase" localSheetId="3" hidden="1">'1-1'!$B$1:$B$364</definedName>
    <definedName name="_xlnm._FilterDatabase" localSheetId="13" hidden="1">'1-11'!$F$1:$F$286</definedName>
    <definedName name="_xlnm._FilterDatabase" localSheetId="4" hidden="1">'1-2'!$C$1:$C$34</definedName>
    <definedName name="_xlnm._FilterDatabase" localSheetId="16" hidden="1">'2-1'!$D$13:$D$97</definedName>
    <definedName name="_xlnm._FilterDatabase" localSheetId="17" hidden="1">'2-2'!$G$1:$G$44</definedName>
    <definedName name="_xlnm._FilterDatabase" localSheetId="23" hidden="1">'3-2'!$G$1:$G$69</definedName>
    <definedName name="_xlnm._FilterDatabase" localSheetId="25" hidden="1">'4-1'!$F$1:$F$176</definedName>
    <definedName name="_xlnm.Print_Area" localSheetId="1">'0-0'!$A$1:$O$42</definedName>
    <definedName name="_xlnm.Print_Area" localSheetId="2">'0-1'!$A$1:$O$25</definedName>
    <definedName name="_xlnm.Print_Area" localSheetId="3">'1-1'!$A$1:$O$106</definedName>
    <definedName name="_xlnm.Print_Area" localSheetId="12">'1-10'!$A$1:$O$36</definedName>
    <definedName name="_xlnm.Print_Area" localSheetId="13">'1-11'!$A$1:$O$140</definedName>
    <definedName name="_xlnm.Print_Area" localSheetId="14">'1-12'!$A$1:$O$58</definedName>
    <definedName name="_xlnm.Print_Area" localSheetId="15">'1-13'!$A$1:$O$20</definedName>
    <definedName name="_xlnm.Print_Area" localSheetId="4">'1-2'!$A$1:$O$33</definedName>
    <definedName name="_xlnm.Print_Area" localSheetId="5">'1-3'!$A$1:$O$50</definedName>
    <definedName name="_xlnm.Print_Area" localSheetId="6">'1-4'!$A$1:$O$28</definedName>
    <definedName name="_xlnm.Print_Area" localSheetId="7">'1-5'!$A$1:$O$161</definedName>
    <definedName name="_xlnm.Print_Area" localSheetId="8">'1-6'!$A$1:$O$99</definedName>
    <definedName name="_xlnm.Print_Area" localSheetId="9">'1-7'!$A$1:$O$67</definedName>
    <definedName name="_xlnm.Print_Area" localSheetId="10">'1-8'!$A$1:$O$38</definedName>
    <definedName name="_xlnm.Print_Area" localSheetId="11">'1-9'!$A$1:$O$80</definedName>
    <definedName name="_xlnm.Print_Area" localSheetId="16">'2-1'!$A$1:$P$110</definedName>
    <definedName name="_xlnm.Print_Area" localSheetId="17">'2-2'!$A$1:$P$44</definedName>
    <definedName name="_xlnm.Print_Area" localSheetId="18">'2-3'!$A$1:$P$90</definedName>
    <definedName name="_xlnm.Print_Area" localSheetId="19">'2-4'!$A$1:$O$104</definedName>
    <definedName name="_xlnm.Print_Area" localSheetId="20">'2-5'!$A$1:$P$185</definedName>
    <definedName name="_xlnm.Print_Area" localSheetId="21">'2-6'!$A$1:$P$83</definedName>
    <definedName name="_xlnm.Print_Area" localSheetId="22">'3-1'!$A$1:$P$162</definedName>
    <definedName name="_xlnm.Print_Area" localSheetId="23">'3-2'!$A$1:$P$69</definedName>
    <definedName name="_xlnm.Print_Area" localSheetId="24">'3-3'!$A$1:$P$113</definedName>
    <definedName name="_xlnm.Print_Area" localSheetId="25">'4-1'!$A$1:$O$175</definedName>
    <definedName name="_xlnm.Print_Area" localSheetId="0">Kopsavilkums!$A$1:$H$52</definedName>
    <definedName name="_xlnm.Print_Titles" localSheetId="1">'0-0'!$12:$12</definedName>
    <definedName name="_xlnm.Print_Titles" localSheetId="2">'0-1'!$12:$12</definedName>
    <definedName name="_xlnm.Print_Titles" localSheetId="3">'1-1'!$12:$12</definedName>
    <definedName name="_xlnm.Print_Titles" localSheetId="12">'1-10'!$13:$13</definedName>
    <definedName name="_xlnm.Print_Titles" localSheetId="13">'1-11'!$12:$12</definedName>
    <definedName name="_xlnm.Print_Titles" localSheetId="14">'1-12'!$11:$11</definedName>
    <definedName name="_xlnm.Print_Titles" localSheetId="4">'1-2'!$12:$12</definedName>
    <definedName name="_xlnm.Print_Titles" localSheetId="5">'1-3'!$11:$11</definedName>
    <definedName name="_xlnm.Print_Titles" localSheetId="6">'1-4'!$12:$12</definedName>
    <definedName name="_xlnm.Print_Titles" localSheetId="7">'1-5'!$12:$12</definedName>
    <definedName name="_xlnm.Print_Titles" localSheetId="8">'1-6'!$11:$11</definedName>
    <definedName name="_xlnm.Print_Titles" localSheetId="9">'1-7'!$14:$14</definedName>
    <definedName name="_xlnm.Print_Titles" localSheetId="10">'1-8'!$11:$11</definedName>
    <definedName name="_xlnm.Print_Titles" localSheetId="11">'1-9'!$12:$12</definedName>
    <definedName name="_xlnm.Print_Titles" localSheetId="16">'2-1'!$12:$12</definedName>
    <definedName name="_xlnm.Print_Titles" localSheetId="17">'2-2'!$12:$12</definedName>
    <definedName name="_xlnm.Print_Titles" localSheetId="18">'2-3'!$12:$12</definedName>
    <definedName name="_xlnm.Print_Titles" localSheetId="19">'2-4'!$12:$12</definedName>
    <definedName name="_xlnm.Print_Titles" localSheetId="20">'2-5'!$12:$12</definedName>
    <definedName name="_xlnm.Print_Titles" localSheetId="21">'2-6'!$12:$12</definedName>
    <definedName name="_xlnm.Print_Titles" localSheetId="22">'3-1'!$12:$12</definedName>
    <definedName name="_xlnm.Print_Titles" localSheetId="23">'3-2'!$12:$12</definedName>
    <definedName name="_xlnm.Print_Titles" localSheetId="24">'3-3'!$12:$12</definedName>
    <definedName name="_xlnm.Print_Titles" localSheetId="25">'4-1'!$11:$11</definedName>
  </definedNames>
  <calcPr calcId="152511"/>
</workbook>
</file>

<file path=xl/calcChain.xml><?xml version="1.0" encoding="utf-8"?>
<calcChain xmlns="http://schemas.openxmlformats.org/spreadsheetml/2006/main">
  <c r="L85" i="61" l="1"/>
  <c r="M85" i="61"/>
  <c r="P85" i="61" s="1"/>
  <c r="N85" i="61"/>
  <c r="O85" i="61"/>
  <c r="D25" i="71" l="1"/>
  <c r="D81" i="74"/>
  <c r="D30" i="38" l="1"/>
  <c r="A13" i="71" l="1"/>
  <c r="A16" i="71" s="1"/>
  <c r="A17" i="71" s="1"/>
  <c r="A18" i="71" s="1"/>
  <c r="A19" i="71" s="1"/>
  <c r="A20" i="71" s="1"/>
  <c r="A21" i="71" s="1"/>
  <c r="A22" i="71" s="1"/>
  <c r="A23" i="71" s="1"/>
  <c r="A32" i="71" s="1"/>
  <c r="A33" i="71" s="1"/>
  <c r="A34" i="71" s="1"/>
  <c r="A35" i="71" s="1"/>
  <c r="A36" i="71" s="1"/>
  <c r="A37" i="71" s="1"/>
  <c r="A38" i="71" s="1"/>
  <c r="A41" i="71" s="1"/>
  <c r="A47" i="71" s="1"/>
  <c r="A53" i="71" s="1"/>
  <c r="A71" i="71" s="1"/>
  <c r="A88" i="71" s="1"/>
  <c r="A91" i="71" s="1"/>
  <c r="A94" i="71" s="1"/>
  <c r="A154" i="71" s="1"/>
  <c r="A155" i="71" s="1"/>
  <c r="A156" i="71" s="1"/>
  <c r="A160" i="71" s="1"/>
  <c r="A161" i="71" s="1"/>
  <c r="A162" i="71" s="1"/>
  <c r="A163" i="71" s="1"/>
  <c r="A164" i="71" s="1"/>
  <c r="A165" i="71" s="1"/>
  <c r="A166" i="71" s="1"/>
  <c r="A167" i="71" s="1"/>
  <c r="A168" i="71" s="1"/>
  <c r="A169" i="71" s="1"/>
  <c r="A170" i="71" s="1"/>
  <c r="D138" i="71"/>
  <c r="D137" i="71"/>
  <c r="D136" i="71"/>
  <c r="D134" i="71"/>
  <c r="D133" i="71"/>
  <c r="D132" i="71"/>
  <c r="D130" i="71"/>
  <c r="D129" i="71"/>
  <c r="D128" i="71"/>
  <c r="D126" i="71"/>
  <c r="D125" i="71"/>
  <c r="D124" i="71"/>
  <c r="D116" i="71"/>
  <c r="D118" i="71"/>
  <c r="D117" i="71"/>
  <c r="D122" i="71"/>
  <c r="D121" i="71"/>
  <c r="D120" i="71"/>
  <c r="A14" i="78"/>
  <c r="A15" i="78" s="1"/>
  <c r="A16" i="78" s="1"/>
  <c r="A17" i="78" s="1"/>
  <c r="A18" i="78" s="1"/>
  <c r="A19" i="78" s="1"/>
  <c r="A22" i="78" s="1"/>
  <c r="A23" i="78" s="1"/>
  <c r="A24" i="78" s="1"/>
  <c r="A25" i="78" s="1"/>
  <c r="A26" i="78" s="1"/>
  <c r="A27" i="78" s="1"/>
  <c r="A28" i="78" s="1"/>
  <c r="A29" i="78" s="1"/>
  <c r="A30" i="78" s="1"/>
  <c r="A31" i="78" s="1"/>
  <c r="A32" i="78" s="1"/>
  <c r="A33" i="78" s="1"/>
  <c r="A34" i="78" s="1"/>
  <c r="A35" i="78" s="1"/>
  <c r="A36" i="78" s="1"/>
  <c r="A37" i="78" s="1"/>
  <c r="A38" i="78" s="1"/>
  <c r="A39" i="78" s="1"/>
  <c r="A40" i="78" s="1"/>
  <c r="A41" i="78" s="1"/>
  <c r="A42" i="78" s="1"/>
  <c r="A43" i="78" s="1"/>
  <c r="A44" i="78" s="1"/>
  <c r="A45" i="78" s="1"/>
  <c r="A46" i="78" s="1"/>
  <c r="A47" i="78" s="1"/>
  <c r="A48" i="78" s="1"/>
  <c r="A49" i="78" s="1"/>
  <c r="A50" i="78" s="1"/>
  <c r="A51" i="78" s="1"/>
  <c r="A54" i="78" s="1"/>
  <c r="A55" i="78" s="1"/>
  <c r="A56" i="78" s="1"/>
  <c r="A57" i="78" s="1"/>
  <c r="A58" i="78" s="1"/>
  <c r="A59" i="78" s="1"/>
  <c r="A60" i="78" s="1"/>
  <c r="A61" i="78" s="1"/>
  <c r="A62" i="78" s="1"/>
  <c r="A65" i="78" s="1"/>
  <c r="A66" i="78" s="1"/>
  <c r="A67" i="78" s="1"/>
  <c r="A68" i="78" s="1"/>
  <c r="A69" i="78" s="1"/>
  <c r="A70" i="78" s="1"/>
  <c r="A71" i="78" s="1"/>
  <c r="A72" i="78" s="1"/>
  <c r="A73" i="78" s="1"/>
  <c r="A74" i="78" s="1"/>
  <c r="A75" i="78" s="1"/>
  <c r="A76" i="78" s="1"/>
  <c r="A77" i="78" s="1"/>
  <c r="A78" i="78" s="1"/>
  <c r="A79" i="78" s="1"/>
  <c r="A80" i="78" s="1"/>
  <c r="A81" i="78" s="1"/>
  <c r="A82" i="78" s="1"/>
  <c r="A85" i="78" s="1"/>
  <c r="A86" i="78" s="1"/>
  <c r="A90" i="78" s="1"/>
  <c r="A91" i="78" s="1"/>
  <c r="A96" i="78" s="1"/>
  <c r="A97" i="78" s="1"/>
  <c r="A100" i="78" s="1"/>
  <c r="A103" i="78" s="1"/>
  <c r="A104" i="78" s="1"/>
  <c r="A105" i="78" s="1"/>
  <c r="A106" i="78" s="1"/>
  <c r="A107" i="78" s="1"/>
  <c r="A14" i="70"/>
  <c r="A15" i="70" s="1"/>
  <c r="A16" i="70" s="1"/>
  <c r="A17" i="70" s="1"/>
  <c r="A18" i="70" s="1"/>
  <c r="A19" i="70" s="1"/>
  <c r="A20" i="70" s="1"/>
  <c r="A21" i="70" s="1"/>
  <c r="A22" i="70" s="1"/>
  <c r="A23" i="70" s="1"/>
  <c r="A24" i="70" s="1"/>
  <c r="A25" i="70" s="1"/>
  <c r="A26" i="70" s="1"/>
  <c r="A27" i="70" s="1"/>
  <c r="A28" i="70" s="1"/>
  <c r="A29" i="70" s="1"/>
  <c r="A30" i="70" s="1"/>
  <c r="A31" i="70" s="1"/>
  <c r="A32" i="70" s="1"/>
  <c r="A35" i="70" s="1"/>
  <c r="A36" i="70" s="1"/>
  <c r="A37" i="70" s="1"/>
  <c r="A38" i="70" s="1"/>
  <c r="A41" i="70" s="1"/>
  <c r="A42" i="70" s="1"/>
  <c r="A43" i="70" s="1"/>
  <c r="A44" i="70" s="1"/>
  <c r="A45" i="70" s="1"/>
  <c r="A46" i="70" s="1"/>
  <c r="A47" i="70" s="1"/>
  <c r="A48" i="70" s="1"/>
  <c r="A49" i="70" s="1"/>
  <c r="A50" i="70" s="1"/>
  <c r="A53" i="70" s="1"/>
  <c r="A54" i="70" s="1"/>
  <c r="A55" i="70" s="1"/>
  <c r="A56" i="70" s="1"/>
  <c r="A57" i="70" s="1"/>
  <c r="A58" i="70" s="1"/>
  <c r="A59" i="70" s="1"/>
  <c r="A60" i="70" s="1"/>
  <c r="A61" i="70" s="1"/>
  <c r="A62" i="70" s="1"/>
  <c r="A63" i="70" s="1"/>
  <c r="A15" i="68"/>
  <c r="A16" i="68" s="1"/>
  <c r="A17" i="68" s="1"/>
  <c r="A18" i="68" s="1"/>
  <c r="A19" i="68" s="1"/>
  <c r="A20" i="68" s="1"/>
  <c r="A21" i="68" s="1"/>
  <c r="A22" i="68" s="1"/>
  <c r="A23" i="68" s="1"/>
  <c r="A24" i="68" s="1"/>
  <c r="A25" i="68" s="1"/>
  <c r="A26" i="68" s="1"/>
  <c r="A27" i="68" s="1"/>
  <c r="A28" i="68" s="1"/>
  <c r="A31" i="68" s="1"/>
  <c r="A32" i="68" s="1"/>
  <c r="A33" i="68" s="1"/>
  <c r="A34" i="68" s="1"/>
  <c r="A37" i="68" s="1"/>
  <c r="A38" i="68" s="1"/>
  <c r="A39" i="68" s="1"/>
  <c r="A40" i="68" s="1"/>
  <c r="A41" i="68" s="1"/>
  <c r="A42" i="68" s="1"/>
  <c r="A43" i="68" s="1"/>
  <c r="A44" i="68" s="1"/>
  <c r="A45" i="68" s="1"/>
  <c r="A46" i="68" s="1"/>
  <c r="A47" i="68" s="1"/>
  <c r="A48" i="68" s="1"/>
  <c r="A49" i="68" s="1"/>
  <c r="A50" i="68" s="1"/>
  <c r="A51" i="68" s="1"/>
  <c r="A52" i="68" s="1"/>
  <c r="A53" i="68" s="1"/>
  <c r="A54" i="68" s="1"/>
  <c r="A55" i="68" s="1"/>
  <c r="A56" i="68" s="1"/>
  <c r="A57" i="68" s="1"/>
  <c r="A58" i="68" s="1"/>
  <c r="A59" i="68" s="1"/>
  <c r="A60" i="68" s="1"/>
  <c r="A61" i="68" s="1"/>
  <c r="A62" i="68" s="1"/>
  <c r="A63" i="68" s="1"/>
  <c r="A64" i="68" s="1"/>
  <c r="A65" i="68" s="1"/>
  <c r="A66" i="68" s="1"/>
  <c r="A67" i="68" s="1"/>
  <c r="A68" i="68" s="1"/>
  <c r="A69" i="68" s="1"/>
  <c r="A70" i="68" s="1"/>
  <c r="A71" i="68" s="1"/>
  <c r="A72" i="68" s="1"/>
  <c r="A73" i="68" s="1"/>
  <c r="A74" i="68" s="1"/>
  <c r="A75" i="68" s="1"/>
  <c r="A76" i="68" s="1"/>
  <c r="A79" i="68" s="1"/>
  <c r="A80" i="68" s="1"/>
  <c r="A81" i="68" s="1"/>
  <c r="A82" i="68" s="1"/>
  <c r="A85" i="68" s="1"/>
  <c r="A86" i="68" s="1"/>
  <c r="A87" i="68" s="1"/>
  <c r="A88" i="68" s="1"/>
  <c r="A89" i="68" s="1"/>
  <c r="A90" i="68" s="1"/>
  <c r="A91" i="68" s="1"/>
  <c r="A92" i="68" s="1"/>
  <c r="A93" i="68" s="1"/>
  <c r="A94" i="68" s="1"/>
  <c r="A95" i="68" s="1"/>
  <c r="A96" i="68" s="1"/>
  <c r="A97" i="68" s="1"/>
  <c r="A98" i="68" s="1"/>
  <c r="A99" i="68" s="1"/>
  <c r="A100" i="68" s="1"/>
  <c r="A101" i="68" s="1"/>
  <c r="A102" i="68" s="1"/>
  <c r="A103" i="68" s="1"/>
  <c r="A104" i="68" s="1"/>
  <c r="A105" i="68" s="1"/>
  <c r="A106" i="68" s="1"/>
  <c r="A107" i="68" s="1"/>
  <c r="A108" i="68" s="1"/>
  <c r="A109" i="68" s="1"/>
  <c r="A110" i="68" s="1"/>
  <c r="A111" i="68" s="1"/>
  <c r="A112" i="68" s="1"/>
  <c r="A113" i="68" s="1"/>
  <c r="A114" i="68" s="1"/>
  <c r="A115" i="68" s="1"/>
  <c r="A116" i="68" s="1"/>
  <c r="A117" i="68" s="1"/>
  <c r="A118" i="68" s="1"/>
  <c r="A119" i="68" s="1"/>
  <c r="A120" i="68" s="1"/>
  <c r="A121" i="68" s="1"/>
  <c r="A122" i="68" s="1"/>
  <c r="A123" i="68" s="1"/>
  <c r="A124" i="68" s="1"/>
  <c r="A127" i="68" s="1"/>
  <c r="A128" i="68" s="1"/>
  <c r="A129" i="68" s="1"/>
  <c r="A130" i="68" s="1"/>
  <c r="A131" i="68" s="1"/>
  <c r="A134" i="68" s="1"/>
  <c r="A135" i="68" s="1"/>
  <c r="A136" i="68" s="1"/>
  <c r="A137" i="68" s="1"/>
  <c r="A138" i="68" s="1"/>
  <c r="A139" i="68" s="1"/>
  <c r="A140" i="68" s="1"/>
  <c r="A141" i="68" s="1"/>
  <c r="A142" i="68" s="1"/>
  <c r="A143" i="68" s="1"/>
  <c r="A144" i="68" s="1"/>
  <c r="A145" i="68" s="1"/>
  <c r="A146" i="68" s="1"/>
  <c r="A147" i="68" s="1"/>
  <c r="A148" i="68" s="1"/>
  <c r="A149" i="68" s="1"/>
  <c r="A152" i="68" s="1"/>
  <c r="A153" i="68" s="1"/>
  <c r="A154" i="68" s="1"/>
  <c r="A155" i="68" s="1"/>
  <c r="A156" i="68" s="1"/>
  <c r="A14" i="66"/>
  <c r="A15" i="66" s="1"/>
  <c r="A16" i="66" s="1"/>
  <c r="A17" i="66" s="1"/>
  <c r="A18" i="66" s="1"/>
  <c r="A19" i="66" s="1"/>
  <c r="A20" i="66" s="1"/>
  <c r="A21" i="66" s="1"/>
  <c r="A22" i="66" s="1"/>
  <c r="A23" i="66" s="1"/>
  <c r="A24" i="66" s="1"/>
  <c r="A25" i="66" s="1"/>
  <c r="A29" i="66" s="1"/>
  <c r="A30" i="66" s="1"/>
  <c r="A31" i="66" s="1"/>
  <c r="A32" i="66" s="1"/>
  <c r="A33" i="66" s="1"/>
  <c r="A34" i="66" s="1"/>
  <c r="A35" i="66" s="1"/>
  <c r="A36" i="66" s="1"/>
  <c r="A37" i="66" s="1"/>
  <c r="A38" i="66" s="1"/>
  <c r="A39" i="66" s="1"/>
  <c r="A40" i="66" s="1"/>
  <c r="A41" i="66" s="1"/>
  <c r="A42" i="66" s="1"/>
  <c r="A43" i="66" s="1"/>
  <c r="A44" i="66" s="1"/>
  <c r="A45" i="66" s="1"/>
  <c r="A46" i="66" s="1"/>
  <c r="A49" i="66" s="1"/>
  <c r="A50" i="66" s="1"/>
  <c r="A51" i="66" s="1"/>
  <c r="A52" i="66" s="1"/>
  <c r="A53" i="66" s="1"/>
  <c r="A54" i="66" s="1"/>
  <c r="A55" i="66" s="1"/>
  <c r="A56" i="66" s="1"/>
  <c r="A57" i="66" s="1"/>
  <c r="A58" i="66" s="1"/>
  <c r="A59" i="66" s="1"/>
  <c r="A60" i="66" s="1"/>
  <c r="A61" i="66" s="1"/>
  <c r="A62" i="66" s="1"/>
  <c r="A63" i="66" s="1"/>
  <c r="A64" i="66" s="1"/>
  <c r="A65" i="66" s="1"/>
  <c r="A66" i="66" s="1"/>
  <c r="A69" i="66" s="1"/>
  <c r="A70" i="66" s="1"/>
  <c r="A71" i="66" s="1"/>
  <c r="A72" i="66" s="1"/>
  <c r="A73" i="66" s="1"/>
  <c r="A74" i="66" s="1"/>
  <c r="A75" i="66" s="1"/>
  <c r="A76" i="66" s="1"/>
  <c r="A77" i="66" s="1"/>
  <c r="A14" i="65"/>
  <c r="A15" i="65" s="1"/>
  <c r="A16" i="65" s="1"/>
  <c r="A17" i="65" s="1"/>
  <c r="A18" i="65" s="1"/>
  <c r="A19" i="65" s="1"/>
  <c r="A20" i="65" s="1"/>
  <c r="A21" i="65" s="1"/>
  <c r="A22" i="65" s="1"/>
  <c r="A25" i="65" s="1"/>
  <c r="A26" i="65" s="1"/>
  <c r="A27" i="65" s="1"/>
  <c r="A28" i="65" s="1"/>
  <c r="A29" i="65" s="1"/>
  <c r="A30" i="65" s="1"/>
  <c r="A31" i="65" s="1"/>
  <c r="A32" i="65" s="1"/>
  <c r="A33" i="65" s="1"/>
  <c r="A34" i="65" s="1"/>
  <c r="A35" i="65" s="1"/>
  <c r="A38" i="65" s="1"/>
  <c r="A39" i="65" s="1"/>
  <c r="A40" i="65" s="1"/>
  <c r="A41" i="65" s="1"/>
  <c r="A42" i="65" s="1"/>
  <c r="A43" i="65" s="1"/>
  <c r="A44" i="65" s="1"/>
  <c r="A47" i="65" s="1"/>
  <c r="A48" i="65" s="1"/>
  <c r="A49" i="65" s="1"/>
  <c r="A50" i="65" s="1"/>
  <c r="A51" i="65" s="1"/>
  <c r="A52" i="65" s="1"/>
  <c r="A53" i="65" s="1"/>
  <c r="A56" i="65" s="1"/>
  <c r="A57" i="65" s="1"/>
  <c r="A58" i="65" s="1"/>
  <c r="A59" i="65" s="1"/>
  <c r="A60" i="65" s="1"/>
  <c r="A61" i="65" s="1"/>
  <c r="A62" i="65" s="1"/>
  <c r="A65" i="65" s="1"/>
  <c r="A66" i="65" s="1"/>
  <c r="A67" i="65" s="1"/>
  <c r="A68" i="65" s="1"/>
  <c r="A69" i="65" s="1"/>
  <c r="A70" i="65" s="1"/>
  <c r="A71" i="65" s="1"/>
  <c r="A74" i="65" s="1"/>
  <c r="A75" i="65" s="1"/>
  <c r="A76" i="65" s="1"/>
  <c r="A77" i="65" s="1"/>
  <c r="A78" i="65" s="1"/>
  <c r="A79" i="65" s="1"/>
  <c r="A80" i="65" s="1"/>
  <c r="A81" i="65" s="1"/>
  <c r="A82" i="65" s="1"/>
  <c r="A83" i="65" s="1"/>
  <c r="A84" i="65" s="1"/>
  <c r="A85" i="65" s="1"/>
  <c r="A15" i="64"/>
  <c r="A16" i="64" s="1"/>
  <c r="A17" i="64" s="1"/>
  <c r="A18" i="64" s="1"/>
  <c r="A19" i="64" s="1"/>
  <c r="A20" i="64" s="1"/>
  <c r="A21" i="64" s="1"/>
  <c r="A22" i="64" s="1"/>
  <c r="A23" i="64" s="1"/>
  <c r="A24" i="64" s="1"/>
  <c r="A25" i="64" s="1"/>
  <c r="A26" i="64" s="1"/>
  <c r="A27" i="64" s="1"/>
  <c r="A30" i="64" s="1"/>
  <c r="A31" i="64" s="1"/>
  <c r="A32" i="64" s="1"/>
  <c r="A33" i="64" s="1"/>
  <c r="A34" i="64" s="1"/>
  <c r="A35" i="64" s="1"/>
  <c r="A36" i="64" s="1"/>
  <c r="A37" i="64" s="1"/>
  <c r="A38" i="64" s="1"/>
  <c r="A39" i="64" s="1"/>
  <c r="A40" i="64" s="1"/>
  <c r="A41" i="64" s="1"/>
  <c r="A45" i="64" s="1"/>
  <c r="A46" i="64" s="1"/>
  <c r="A47" i="64" s="1"/>
  <c r="A48" i="64" s="1"/>
  <c r="A49" i="64" s="1"/>
  <c r="A50" i="64" s="1"/>
  <c r="A51" i="64" s="1"/>
  <c r="A52" i="64" s="1"/>
  <c r="A53" i="64" s="1"/>
  <c r="A54" i="64" s="1"/>
  <c r="A55" i="64" s="1"/>
  <c r="A59" i="64" s="1"/>
  <c r="A60" i="64" s="1"/>
  <c r="A61" i="64" s="1"/>
  <c r="A62" i="64" s="1"/>
  <c r="A63" i="64" s="1"/>
  <c r="A64" i="64" s="1"/>
  <c r="A65" i="64" s="1"/>
  <c r="A66" i="64" s="1"/>
  <c r="A67" i="64" s="1"/>
  <c r="A68" i="64" s="1"/>
  <c r="A69" i="64" s="1"/>
  <c r="A70" i="64" s="1"/>
  <c r="A71" i="64" s="1"/>
  <c r="A75" i="64" s="1"/>
  <c r="A76" i="64" s="1"/>
  <c r="A77" i="64" s="1"/>
  <c r="A78" i="64" s="1"/>
  <c r="A79" i="64" s="1"/>
  <c r="A80" i="64" s="1"/>
  <c r="A81" i="64" s="1"/>
  <c r="A82" i="64" s="1"/>
  <c r="A86" i="64" s="1"/>
  <c r="A87" i="64" s="1"/>
  <c r="A88" i="64" s="1"/>
  <c r="A89" i="64" s="1"/>
  <c r="A90" i="64" s="1"/>
  <c r="A94" i="64" s="1"/>
  <c r="A95" i="64" s="1"/>
  <c r="A96" i="64" s="1"/>
  <c r="A14" i="6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9" i="61" s="1"/>
  <c r="A70" i="61" s="1"/>
  <c r="A71" i="61" s="1"/>
  <c r="A72" i="61" s="1"/>
  <c r="A73" i="61" s="1"/>
  <c r="A74" i="61" s="1"/>
  <c r="A75" i="61" s="1"/>
  <c r="A76" i="61" s="1"/>
  <c r="A77" i="61" s="1"/>
  <c r="A78" i="61" s="1"/>
  <c r="A79" i="61" s="1"/>
  <c r="A80" i="61" s="1"/>
  <c r="A81" i="61" s="1"/>
  <c r="A82" i="61" s="1"/>
  <c r="A83" i="61" s="1"/>
  <c r="A84" i="61" s="1"/>
  <c r="A14" i="77"/>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14" i="76"/>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3" i="75"/>
  <c r="A20" i="74"/>
  <c r="A21" i="74" s="1"/>
  <c r="A31" i="74" s="1"/>
  <c r="A54" i="74" s="1"/>
  <c r="A15" i="73"/>
  <c r="A30" i="73" s="1"/>
  <c r="A14" i="72"/>
  <c r="A32" i="72" s="1"/>
  <c r="A63" i="72" s="1"/>
  <c r="A13" i="60"/>
  <c r="A14" i="60" s="1"/>
  <c r="A15" i="60" s="1"/>
  <c r="A16" i="60" s="1"/>
  <c r="A17" i="60" s="1"/>
  <c r="A18" i="60" s="1"/>
  <c r="A19" i="60" s="1"/>
  <c r="A20" i="60" s="1"/>
  <c r="A21" i="60" s="1"/>
  <c r="A22" i="60" s="1"/>
  <c r="A23" i="60" s="1"/>
  <c r="A16" i="48"/>
  <c r="A61" i="48" s="1"/>
  <c r="A13" i="47"/>
  <c r="A15" i="59"/>
  <c r="A14" i="45"/>
  <c r="A15" i="45" s="1"/>
  <c r="A13" i="43"/>
  <c r="A14" i="42"/>
  <c r="A17" i="42" s="1"/>
  <c r="A15" i="40"/>
  <c r="A80" i="40" s="1"/>
  <c r="A14" i="57"/>
  <c r="A15" i="57" s="1"/>
  <c r="A16" i="57" s="1"/>
  <c r="A17" i="57" s="1"/>
  <c r="A86" i="65" l="1"/>
  <c r="A89" i="65" s="1"/>
  <c r="A90" i="65" s="1"/>
  <c r="A91" i="65" s="1"/>
  <c r="A92" i="65" s="1"/>
  <c r="A93" i="65" s="1"/>
  <c r="A94" i="65" s="1"/>
  <c r="A95" i="65" s="1"/>
  <c r="A96" i="65" s="1"/>
  <c r="A97" i="65" s="1"/>
  <c r="A98" i="65" s="1"/>
  <c r="A101" i="65" s="1"/>
  <c r="A102" i="65" s="1"/>
  <c r="A103" i="65" s="1"/>
  <c r="A104" i="65" s="1"/>
  <c r="A105" i="65" s="1"/>
  <c r="A106" i="65" s="1"/>
  <c r="A107" i="65" s="1"/>
  <c r="A108" i="65" s="1"/>
  <c r="A109" i="65" s="1"/>
  <c r="A110" i="65" s="1"/>
  <c r="A114" i="65" s="1"/>
  <c r="A115" i="65" s="1"/>
  <c r="A116" i="65" s="1"/>
  <c r="A117" i="65" s="1"/>
  <c r="A118" i="65" s="1"/>
  <c r="A119" i="65" s="1"/>
  <c r="A120" i="65" s="1"/>
  <c r="A121" i="65" s="1"/>
  <c r="A122" i="65" s="1"/>
  <c r="A123" i="65" s="1"/>
  <c r="A124" i="65" s="1"/>
  <c r="A127" i="65" s="1"/>
  <c r="A128" i="65" s="1"/>
  <c r="A129" i="65" s="1"/>
  <c r="A130" i="65" s="1"/>
  <c r="A131" i="65" s="1"/>
  <c r="A132" i="65" s="1"/>
  <c r="A133" i="65" s="1"/>
  <c r="A134" i="65" s="1"/>
  <c r="A137" i="65" s="1"/>
  <c r="A138" i="65" s="1"/>
  <c r="A139" i="65" s="1"/>
  <c r="A140" i="65" s="1"/>
  <c r="A141" i="65" s="1"/>
  <c r="A142" i="65" s="1"/>
  <c r="A143" i="65" s="1"/>
  <c r="A144" i="65" s="1"/>
  <c r="A145" i="65" s="1"/>
  <c r="A146" i="65" s="1"/>
  <c r="A149" i="65" s="1"/>
  <c r="A150" i="65" s="1"/>
  <c r="A151" i="65" s="1"/>
  <c r="A152" i="65" s="1"/>
  <c r="A153" i="65" s="1"/>
  <c r="A154" i="65" s="1"/>
  <c r="A155" i="65" s="1"/>
  <c r="A156" i="65" s="1"/>
  <c r="A157" i="65" s="1"/>
  <c r="A161" i="65" s="1"/>
  <c r="A162" i="65" s="1"/>
  <c r="A163" i="65" s="1"/>
  <c r="A164" i="65" s="1"/>
  <c r="A165" i="65" s="1"/>
  <c r="A166" i="65" s="1"/>
  <c r="A167" i="65" s="1"/>
  <c r="A168" i="65" s="1"/>
  <c r="A169" i="65" s="1"/>
  <c r="A170" i="65" s="1"/>
  <c r="A173" i="65" s="1"/>
  <c r="A174" i="65" s="1"/>
  <c r="A175" i="65" s="1"/>
  <c r="A176" i="65" s="1"/>
  <c r="A177" i="65" s="1"/>
  <c r="A178" i="65" s="1"/>
  <c r="A179" i="65" s="1"/>
  <c r="D24" i="43" l="1"/>
  <c r="E53" i="78"/>
  <c r="E14" i="78"/>
  <c r="B113" i="78"/>
  <c r="J14" i="38" l="1"/>
  <c r="K14" i="38"/>
  <c r="L14" i="38"/>
  <c r="M14" i="38"/>
  <c r="N14" i="38"/>
  <c r="J15" i="38"/>
  <c r="K15" i="38"/>
  <c r="L15" i="38"/>
  <c r="M15" i="38"/>
  <c r="N15" i="38"/>
  <c r="N13" i="38"/>
  <c r="M13" i="38"/>
  <c r="L13" i="38"/>
  <c r="K13" i="38"/>
  <c r="J13" i="38"/>
  <c r="O13" i="38" l="1"/>
  <c r="O14" i="38"/>
  <c r="D34" i="75"/>
  <c r="D38" i="75" l="1"/>
  <c r="Q34" i="75"/>
  <c r="D35" i="75"/>
  <c r="D36" i="75"/>
  <c r="D37" i="75"/>
  <c r="D39" i="75" l="1"/>
  <c r="D41" i="75"/>
  <c r="D42" i="75"/>
  <c r="D40" i="75"/>
  <c r="D44" i="75" l="1"/>
  <c r="D43" i="75"/>
  <c r="O6" i="78"/>
  <c r="D14" i="43" l="1"/>
  <c r="D36" i="48"/>
  <c r="D34" i="48"/>
  <c r="D29" i="48"/>
  <c r="D37" i="48" l="1"/>
  <c r="D21" i="48"/>
  <c r="D22" i="48" l="1"/>
  <c r="D16" i="47"/>
  <c r="D19" i="47"/>
  <c r="D66" i="47"/>
  <c r="D75" i="47"/>
  <c r="D26" i="42"/>
  <c r="D17" i="43"/>
  <c r="D17" i="47" l="1"/>
  <c r="D14" i="60"/>
  <c r="D13" i="60"/>
  <c r="D12" i="60"/>
  <c r="D13" i="47" l="1"/>
  <c r="D14" i="42"/>
  <c r="D22" i="75"/>
  <c r="D23" i="75" l="1"/>
  <c r="D18" i="43"/>
  <c r="D19" i="43" l="1"/>
  <c r="D170" i="71"/>
  <c r="D151" i="71"/>
  <c r="D150" i="71"/>
  <c r="D149" i="71"/>
  <c r="D147" i="71"/>
  <c r="D146" i="71"/>
  <c r="D145" i="71"/>
  <c r="D143" i="71"/>
  <c r="D142" i="71"/>
  <c r="D141" i="71"/>
  <c r="D113" i="71"/>
  <c r="D111" i="71"/>
  <c r="D109" i="71"/>
  <c r="D106" i="71"/>
  <c r="D104" i="71"/>
  <c r="D102" i="71"/>
  <c r="D95" i="71"/>
  <c r="D92" i="71"/>
  <c r="D89" i="71"/>
  <c r="D83" i="71"/>
  <c r="D78" i="71"/>
  <c r="D75" i="71"/>
  <c r="D71" i="71"/>
  <c r="D67" i="71"/>
  <c r="D65" i="71"/>
  <c r="D64" i="71"/>
  <c r="D62" i="71"/>
  <c r="D53" i="71"/>
  <c r="D49" i="71"/>
  <c r="D47" i="71"/>
  <c r="D43" i="71"/>
  <c r="D41" i="71"/>
  <c r="D37" i="71"/>
  <c r="D35" i="71"/>
  <c r="D34" i="71"/>
  <c r="D32" i="71"/>
  <c r="D48" i="71" l="1"/>
  <c r="D76" i="71"/>
  <c r="D54" i="71"/>
  <c r="D68" i="71"/>
  <c r="D74" i="71"/>
  <c r="D50" i="71"/>
  <c r="D42" i="71"/>
  <c r="D38" i="71"/>
  <c r="D82" i="71"/>
  <c r="D84" i="71"/>
  <c r="D55" i="71"/>
  <c r="D73" i="71"/>
  <c r="D36" i="71"/>
  <c r="D44" i="71"/>
  <c r="D72" i="71"/>
  <c r="D79" i="71"/>
  <c r="D56" i="71"/>
  <c r="D66" i="71"/>
  <c r="D27" i="71" l="1"/>
  <c r="G123" i="64" l="1"/>
  <c r="L123" i="64" s="1"/>
  <c r="H122" i="64"/>
  <c r="M122" i="64" s="1"/>
  <c r="G122" i="64"/>
  <c r="I122" i="64" s="1"/>
  <c r="H124" i="64"/>
  <c r="M124" i="64" s="1"/>
  <c r="G124" i="64"/>
  <c r="L124" i="64" s="1"/>
  <c r="H123" i="64"/>
  <c r="M123" i="64" s="1"/>
  <c r="H117" i="64"/>
  <c r="M117" i="64" s="1"/>
  <c r="G121" i="64"/>
  <c r="I121" i="64" s="1"/>
  <c r="N121" i="64" s="1"/>
  <c r="H121" i="64"/>
  <c r="H120" i="64"/>
  <c r="M120" i="64" s="1"/>
  <c r="G120" i="64"/>
  <c r="I120" i="64" s="1"/>
  <c r="H118" i="64"/>
  <c r="M118" i="64" s="1"/>
  <c r="G118" i="64"/>
  <c r="L118" i="64" s="1"/>
  <c r="H116" i="64"/>
  <c r="M116" i="64" s="1"/>
  <c r="G116" i="64"/>
  <c r="I116" i="64" s="1"/>
  <c r="N116" i="64" s="1"/>
  <c r="G117" i="64"/>
  <c r="I117" i="64" s="1"/>
  <c r="H115" i="64"/>
  <c r="M115" i="64" s="1"/>
  <c r="G115" i="64"/>
  <c r="H113" i="64"/>
  <c r="G114" i="64"/>
  <c r="L114" i="64" s="1"/>
  <c r="H114" i="64"/>
  <c r="M114" i="64" s="1"/>
  <c r="G113" i="64"/>
  <c r="L113" i="64" s="1"/>
  <c r="G111" i="64"/>
  <c r="L111" i="64" s="1"/>
  <c r="G112" i="64"/>
  <c r="I112" i="64" s="1"/>
  <c r="K124" i="64"/>
  <c r="K123" i="64"/>
  <c r="K122" i="64"/>
  <c r="M121" i="64"/>
  <c r="K121" i="64"/>
  <c r="K120" i="64"/>
  <c r="K118" i="64"/>
  <c r="K117" i="64"/>
  <c r="K116" i="64"/>
  <c r="K115" i="64"/>
  <c r="K114" i="64"/>
  <c r="K113" i="64"/>
  <c r="M112" i="64"/>
  <c r="K112" i="64"/>
  <c r="K111" i="64"/>
  <c r="H111" i="64"/>
  <c r="M111" i="64" s="1"/>
  <c r="I111" i="64" l="1"/>
  <c r="N111" i="64" s="1"/>
  <c r="O111" i="64" s="1"/>
  <c r="L116" i="64"/>
  <c r="N122" i="64"/>
  <c r="J122" i="64"/>
  <c r="L122" i="64"/>
  <c r="I124" i="64"/>
  <c r="N124" i="64" s="1"/>
  <c r="O124" i="64" s="1"/>
  <c r="I123" i="64"/>
  <c r="N123" i="64" s="1"/>
  <c r="O123" i="64" s="1"/>
  <c r="L121" i="64"/>
  <c r="O121" i="64" s="1"/>
  <c r="J121" i="64"/>
  <c r="N120" i="64"/>
  <c r="J120" i="64"/>
  <c r="L120" i="64"/>
  <c r="I118" i="64"/>
  <c r="N118" i="64" s="1"/>
  <c r="O118" i="64" s="1"/>
  <c r="O116" i="64"/>
  <c r="J116" i="64"/>
  <c r="N117" i="64"/>
  <c r="J117" i="64"/>
  <c r="L117" i="64"/>
  <c r="L115" i="64"/>
  <c r="I115" i="64"/>
  <c r="N115" i="64" s="1"/>
  <c r="I114" i="64"/>
  <c r="N114" i="64" s="1"/>
  <c r="O114" i="64" s="1"/>
  <c r="I113" i="64"/>
  <c r="N113" i="64" s="1"/>
  <c r="M113" i="64"/>
  <c r="N112" i="64"/>
  <c r="J112" i="64"/>
  <c r="L112" i="64"/>
  <c r="O117" i="64" l="1"/>
  <c r="O122" i="64"/>
  <c r="J111" i="64"/>
  <c r="O120" i="64"/>
  <c r="J114" i="64"/>
  <c r="O112" i="64"/>
  <c r="J124" i="64"/>
  <c r="J123" i="64"/>
  <c r="J118" i="64"/>
  <c r="O115" i="64"/>
  <c r="J115" i="64"/>
  <c r="O113" i="64"/>
  <c r="J113" i="64"/>
  <c r="D25" i="60" l="1"/>
  <c r="D24" i="60"/>
  <c r="D15" i="60"/>
  <c r="D30" i="48"/>
  <c r="D28" i="48" l="1"/>
  <c r="D63" i="47"/>
  <c r="D25" i="59"/>
  <c r="D76" i="74" l="1"/>
  <c r="D77" i="74" s="1"/>
  <c r="D48" i="74"/>
  <c r="D25" i="74"/>
  <c r="D44" i="74"/>
  <c r="D43" i="74"/>
  <c r="D42" i="74"/>
  <c r="D41" i="74"/>
  <c r="D80" i="74"/>
  <c r="D29" i="74"/>
  <c r="D49" i="74"/>
  <c r="D26" i="74"/>
  <c r="D75" i="74"/>
  <c r="D47" i="74"/>
  <c r="D32" i="74"/>
  <c r="D24" i="74"/>
  <c r="D28" i="71"/>
  <c r="D18" i="71"/>
  <c r="E82" i="61"/>
  <c r="D49" i="75"/>
  <c r="D15" i="75"/>
  <c r="D48" i="75"/>
  <c r="D47" i="75"/>
  <c r="D14" i="75"/>
  <c r="D26" i="73"/>
  <c r="D59" i="72"/>
  <c r="D58" i="72"/>
  <c r="D57" i="72"/>
  <c r="D56" i="72"/>
  <c r="D55" i="72"/>
  <c r="D54" i="72"/>
  <c r="D24" i="72"/>
  <c r="D28" i="60"/>
  <c r="D20" i="48"/>
  <c r="D67" i="47"/>
  <c r="D65" i="47"/>
  <c r="D64" i="47"/>
  <c r="D50" i="47"/>
  <c r="D47" i="47"/>
  <c r="D41" i="47"/>
  <c r="D27" i="47"/>
  <c r="D52" i="47"/>
  <c r="D43" i="47"/>
  <c r="D29" i="47"/>
  <c r="D38" i="47"/>
  <c r="D24" i="47"/>
  <c r="D52" i="74" l="1"/>
  <c r="D24" i="59"/>
  <c r="D40" i="59"/>
  <c r="D56" i="59"/>
  <c r="D72" i="59"/>
  <c r="D83" i="59"/>
  <c r="D93" i="59"/>
  <c r="D103" i="59"/>
  <c r="D111" i="59"/>
  <c r="D133" i="59"/>
  <c r="D118" i="59"/>
  <c r="D100" i="59"/>
  <c r="D90" i="59"/>
  <c r="D80" i="59"/>
  <c r="D69" i="59"/>
  <c r="D53" i="59"/>
  <c r="D37" i="59"/>
  <c r="D21" i="59"/>
  <c r="D140" i="59"/>
  <c r="D142" i="59"/>
  <c r="D144" i="59"/>
  <c r="D135" i="59"/>
  <c r="D113" i="59"/>
  <c r="D64" i="59"/>
  <c r="D48" i="59"/>
  <c r="D32" i="59"/>
  <c r="D16" i="59"/>
  <c r="D22" i="43"/>
  <c r="D146" i="59" l="1"/>
  <c r="D124" i="59"/>
  <c r="D105" i="59"/>
  <c r="D95" i="59"/>
  <c r="D85" i="59"/>
  <c r="D74" i="59"/>
  <c r="D58" i="59"/>
  <c r="D42" i="59"/>
  <c r="D26" i="59"/>
  <c r="D19" i="59"/>
  <c r="D35" i="59"/>
  <c r="D51" i="59"/>
  <c r="D67" i="59"/>
  <c r="D116" i="59"/>
  <c r="D138" i="59"/>
  <c r="D24" i="42" l="1"/>
  <c r="D21" i="42" l="1"/>
  <c r="D62" i="40"/>
  <c r="D72" i="40"/>
  <c r="D81" i="40"/>
  <c r="D90" i="40"/>
  <c r="D92" i="40"/>
  <c r="D100" i="40"/>
  <c r="D94" i="40"/>
  <c r="D74" i="40"/>
  <c r="D64" i="40"/>
  <c r="D54" i="40"/>
  <c r="D42" i="40"/>
  <c r="D40" i="40"/>
  <c r="D26" i="40"/>
  <c r="D24" i="40"/>
  <c r="D88" i="40"/>
  <c r="D69" i="40"/>
  <c r="D59" i="40"/>
  <c r="D49" i="40"/>
  <c r="D37" i="40"/>
  <c r="D21" i="40"/>
  <c r="D83" i="40"/>
  <c r="D32" i="40"/>
  <c r="D16" i="40"/>
  <c r="D86" i="40"/>
  <c r="D35" i="40"/>
  <c r="D19" i="40"/>
  <c r="B185" i="65" l="1"/>
  <c r="B44" i="77"/>
  <c r="B110" i="76"/>
  <c r="E64" i="61" l="1"/>
  <c r="E20" i="68"/>
  <c r="E26" i="68"/>
  <c r="E21" i="68"/>
  <c r="E153" i="68"/>
  <c r="E128" i="68"/>
  <c r="E80" i="68"/>
  <c r="E32" i="68"/>
  <c r="E27" i="68" l="1"/>
  <c r="E28" i="68"/>
  <c r="E24" i="68"/>
  <c r="D22" i="71" l="1"/>
  <c r="D118" i="74" l="1"/>
  <c r="D116" i="74"/>
  <c r="D115" i="74"/>
  <c r="D101" i="74"/>
  <c r="D99" i="74"/>
  <c r="D98" i="74"/>
  <c r="D91" i="74"/>
  <c r="D82" i="74"/>
  <c r="D53" i="74"/>
  <c r="D54" i="74" s="1"/>
  <c r="D33" i="74"/>
  <c r="D21" i="74"/>
  <c r="D50" i="75"/>
  <c r="D27" i="75"/>
  <c r="D26" i="75"/>
  <c r="D16" i="75"/>
  <c r="D28" i="73"/>
  <c r="D27" i="73"/>
  <c r="D25" i="73"/>
  <c r="D24" i="73"/>
  <c r="D21" i="73"/>
  <c r="D19" i="73"/>
  <c r="D17" i="73"/>
  <c r="D16" i="73"/>
  <c r="D69" i="72"/>
  <c r="D67" i="72"/>
  <c r="D66" i="72"/>
  <c r="D63" i="72"/>
  <c r="D60" i="72"/>
  <c r="D52" i="72"/>
  <c r="D51" i="72"/>
  <c r="D50" i="72"/>
  <c r="D38" i="72"/>
  <c r="D32" i="72"/>
  <c r="D20" i="72"/>
  <c r="D14" i="72"/>
  <c r="D49" i="72" l="1"/>
  <c r="D22" i="73"/>
  <c r="D55" i="74"/>
  <c r="D83" i="74"/>
  <c r="D61" i="72"/>
  <c r="D20" i="73"/>
  <c r="D53" i="72"/>
  <c r="D117" i="74"/>
  <c r="D18" i="73"/>
  <c r="D100" i="74"/>
  <c r="D37" i="72"/>
  <c r="D35" i="72"/>
  <c r="D33" i="72"/>
  <c r="D19" i="72"/>
  <c r="D18" i="72"/>
  <c r="D15" i="72"/>
  <c r="D17" i="72"/>
  <c r="D40" i="72"/>
  <c r="D39" i="72"/>
  <c r="D68" i="72"/>
  <c r="D64" i="72"/>
  <c r="D71" i="72"/>
  <c r="D70" i="72"/>
  <c r="D22" i="72"/>
  <c r="D21" i="72"/>
  <c r="D93" i="74"/>
  <c r="D94" i="74"/>
  <c r="D92" i="74"/>
  <c r="D108" i="74"/>
  <c r="D104" i="74"/>
  <c r="D102" i="74"/>
  <c r="D34" i="74"/>
  <c r="D36" i="74"/>
  <c r="D125" i="74"/>
  <c r="D127" i="74" s="1"/>
  <c r="D121" i="74"/>
  <c r="D119" i="74"/>
  <c r="D17" i="75"/>
  <c r="D18" i="75"/>
  <c r="D52" i="75"/>
  <c r="D51" i="75"/>
  <c r="D31" i="75"/>
  <c r="D30" i="75"/>
  <c r="D28" i="75"/>
  <c r="D56" i="74"/>
  <c r="D84" i="74"/>
  <c r="D35" i="74"/>
  <c r="D103" i="74"/>
  <c r="D130" i="74"/>
  <c r="D129" i="74"/>
  <c r="D128" i="74"/>
  <c r="D126" i="74"/>
  <c r="D120" i="74"/>
  <c r="D29" i="75"/>
  <c r="D16" i="72"/>
  <c r="D27" i="72"/>
  <c r="D44" i="72"/>
  <c r="D34" i="72"/>
  <c r="D36" i="72"/>
  <c r="D65" i="72"/>
  <c r="D23" i="73" l="1"/>
  <c r="D95" i="74"/>
  <c r="D30" i="72"/>
  <c r="D29" i="72"/>
  <c r="D28" i="72"/>
  <c r="D73" i="72"/>
  <c r="D72" i="72"/>
  <c r="D43" i="72"/>
  <c r="D42" i="72"/>
  <c r="D41" i="72"/>
  <c r="D25" i="72"/>
  <c r="D23" i="72"/>
  <c r="D26" i="72"/>
  <c r="D47" i="72"/>
  <c r="D46" i="72"/>
  <c r="D45" i="72"/>
  <c r="D39" i="74"/>
  <c r="D37" i="74"/>
  <c r="D59" i="74"/>
  <c r="D57" i="74"/>
  <c r="D107" i="74"/>
  <c r="D105" i="74"/>
  <c r="D122" i="74"/>
  <c r="D124" i="74"/>
  <c r="D111" i="74"/>
  <c r="D109" i="74"/>
  <c r="D110" i="74"/>
  <c r="D134" i="74"/>
  <c r="D131" i="74"/>
  <c r="D132" i="74"/>
  <c r="D133" i="74"/>
  <c r="D87" i="74"/>
  <c r="D85" i="74"/>
  <c r="D19" i="75"/>
  <c r="D86" i="74"/>
  <c r="D63" i="74"/>
  <c r="D58" i="74"/>
  <c r="D88" i="74" l="1"/>
  <c r="D90" i="74"/>
  <c r="D112" i="74"/>
  <c r="D62" i="74"/>
  <c r="D60" i="74"/>
  <c r="D20" i="75"/>
  <c r="D68" i="74"/>
  <c r="D67" i="74"/>
  <c r="D66" i="74"/>
  <c r="D65" i="74"/>
  <c r="D64" i="74"/>
  <c r="D71" i="74" l="1"/>
  <c r="D72" i="74"/>
  <c r="D69" i="74"/>
  <c r="D70" i="74"/>
  <c r="A2" i="67" l="1"/>
  <c r="A2" i="77" l="1"/>
  <c r="A2" i="76"/>
  <c r="D120" i="59"/>
  <c r="D22" i="60" l="1"/>
  <c r="D24" i="48"/>
  <c r="D17" i="60"/>
  <c r="D16" i="60"/>
  <c r="D17" i="48" l="1"/>
  <c r="D25" i="48"/>
  <c r="D26" i="48"/>
  <c r="D13" i="45"/>
  <c r="D71" i="47" l="1"/>
  <c r="D73" i="47" l="1"/>
  <c r="D68" i="47"/>
  <c r="D77" i="47" l="1"/>
  <c r="D76" i="47"/>
  <c r="D78" i="47" l="1"/>
  <c r="D53" i="47" l="1"/>
  <c r="D54" i="47"/>
  <c r="D45" i="47"/>
  <c r="D44" i="47"/>
  <c r="D155" i="59" l="1"/>
  <c r="D151" i="59"/>
  <c r="D148" i="59"/>
  <c r="D147" i="59"/>
  <c r="D149" i="59"/>
  <c r="D129" i="59"/>
  <c r="D126" i="59"/>
  <c r="D125" i="59"/>
  <c r="D122" i="59"/>
  <c r="D127" i="59"/>
  <c r="D107" i="59"/>
  <c r="D106" i="59"/>
  <c r="D97" i="59"/>
  <c r="D96" i="59"/>
  <c r="D87" i="59"/>
  <c r="D86" i="59"/>
  <c r="D76" i="59"/>
  <c r="D75" i="59"/>
  <c r="D60" i="59"/>
  <c r="D59" i="59"/>
  <c r="D44" i="59"/>
  <c r="D43" i="59"/>
  <c r="D28" i="59"/>
  <c r="D27" i="59"/>
  <c r="D17" i="57"/>
  <c r="D130" i="59" l="1"/>
  <c r="D152" i="59"/>
  <c r="D18" i="57"/>
  <c r="D150" i="59"/>
  <c r="D128" i="59"/>
  <c r="D97" i="40" l="1"/>
  <c r="D96" i="40"/>
  <c r="D95" i="40"/>
  <c r="D76" i="40" l="1"/>
  <c r="D75" i="40"/>
  <c r="D66" i="40"/>
  <c r="D65" i="40"/>
  <c r="D56" i="40"/>
  <c r="D55" i="40"/>
  <c r="D52" i="40"/>
  <c r="D44" i="40"/>
  <c r="D43" i="40"/>
  <c r="D28" i="40" l="1"/>
  <c r="D27" i="40"/>
  <c r="A2" i="75" l="1"/>
  <c r="B58" i="75"/>
  <c r="A2" i="74"/>
  <c r="B140" i="74"/>
  <c r="A2" i="73"/>
  <c r="B36" i="73"/>
  <c r="B80" i="72"/>
  <c r="A2" i="72"/>
  <c r="A2" i="47"/>
  <c r="A2" i="48"/>
  <c r="A2" i="60"/>
  <c r="D91" i="47"/>
  <c r="D86" i="47"/>
  <c r="D88" i="47" l="1"/>
  <c r="N7" i="73" l="1"/>
  <c r="N6" i="72" l="1"/>
  <c r="N6" i="74" l="1"/>
  <c r="R31" i="60" l="1"/>
  <c r="N6" i="60" l="1"/>
  <c r="B67" i="48"/>
  <c r="D45" i="48"/>
  <c r="D43" i="48"/>
  <c r="D82" i="47"/>
  <c r="D81" i="47"/>
  <c r="D33" i="47"/>
  <c r="D55" i="47" l="1"/>
  <c r="D56" i="47" s="1"/>
  <c r="D40" i="48"/>
  <c r="D92" i="47"/>
  <c r="D36" i="47"/>
  <c r="D35" i="47"/>
  <c r="D41" i="48"/>
  <c r="D49" i="48"/>
  <c r="D31" i="47"/>
  <c r="D30" i="47" l="1"/>
  <c r="N8" i="48" l="1"/>
  <c r="N6" i="75" l="1"/>
  <c r="D34" i="47"/>
  <c r="D20" i="47" l="1"/>
  <c r="B161" i="59"/>
  <c r="A2" i="59"/>
  <c r="D17" i="42"/>
  <c r="D13" i="57"/>
  <c r="D18" i="42" l="1"/>
  <c r="N6" i="59" l="1"/>
  <c r="B175" i="71" l="1"/>
  <c r="A2" i="71"/>
  <c r="D29" i="43"/>
  <c r="D27" i="43"/>
  <c r="D33" i="43" l="1"/>
  <c r="D25" i="43"/>
  <c r="B90" i="61" l="1"/>
  <c r="A2" i="61"/>
  <c r="B38" i="60"/>
  <c r="B99" i="47"/>
  <c r="B28" i="45"/>
  <c r="A2" i="45"/>
  <c r="B50" i="43"/>
  <c r="A2" i="43"/>
  <c r="B33" i="42"/>
  <c r="D27" i="42"/>
  <c r="A2" i="42"/>
  <c r="B106" i="40"/>
  <c r="A2" i="40"/>
  <c r="B25" i="57"/>
  <c r="D16" i="57"/>
  <c r="A2" i="57"/>
  <c r="B42" i="38"/>
  <c r="D27" i="38"/>
  <c r="D26" i="38"/>
  <c r="A14" i="38"/>
  <c r="A15" i="38" s="1"/>
  <c r="A16" i="38" s="1"/>
  <c r="A17" i="38" s="1"/>
  <c r="A18" i="38" s="1"/>
  <c r="A19" i="38" s="1"/>
  <c r="A20" i="38" s="1"/>
  <c r="A21" i="38" s="1"/>
  <c r="A22" i="38" s="1"/>
  <c r="A23" i="38" s="1"/>
  <c r="A24" i="38" s="1"/>
  <c r="A25" i="38" s="1"/>
  <c r="A2" i="38"/>
  <c r="D52" i="41"/>
  <c r="A12" i="41"/>
  <c r="A15" i="41" s="1"/>
  <c r="A16" i="41" s="1"/>
  <c r="A17" i="41" s="1"/>
  <c r="A18" i="41" s="1"/>
  <c r="A20" i="41" s="1"/>
  <c r="B69" i="70"/>
  <c r="A2" i="70"/>
  <c r="B162" i="68"/>
  <c r="A2" i="68"/>
  <c r="B20" i="67"/>
  <c r="B83" i="66"/>
  <c r="A2" i="66"/>
  <c r="A2" i="65"/>
  <c r="B104" i="64"/>
  <c r="A2" i="64"/>
  <c r="D19" i="57" l="1"/>
  <c r="A29" i="38"/>
  <c r="A32" i="38" s="1"/>
  <c r="A33" i="38" s="1"/>
  <c r="A34" i="38" s="1"/>
  <c r="A35" i="38" s="1"/>
  <c r="A36" i="38" s="1"/>
  <c r="A21" i="41"/>
  <c r="A22" i="41" s="1"/>
  <c r="A23" i="41" s="1"/>
  <c r="A24" i="41" s="1"/>
  <c r="A25" i="41" s="1"/>
  <c r="A26" i="41" s="1"/>
  <c r="A27" i="41" s="1"/>
  <c r="D98" i="40"/>
  <c r="A28" i="41" l="1"/>
  <c r="A30" i="41" s="1"/>
  <c r="O6" i="68" l="1"/>
  <c r="A31" i="41"/>
  <c r="A32" i="41" s="1"/>
  <c r="A33" i="41" s="1"/>
  <c r="A34" i="41" s="1"/>
  <c r="A35" i="41" s="1"/>
  <c r="A37" i="41" s="1"/>
  <c r="A38" i="41" s="1"/>
  <c r="A39" i="41" s="1"/>
  <c r="O6" i="70"/>
  <c r="D93" i="47"/>
  <c r="N6" i="67"/>
  <c r="N6" i="64"/>
  <c r="O6" i="61" l="1"/>
  <c r="O6" i="66" l="1"/>
  <c r="N6" i="57"/>
  <c r="N6" i="43" l="1"/>
  <c r="N6" i="42"/>
  <c r="N6" i="47"/>
  <c r="N6" i="40" l="1"/>
  <c r="N6" i="45"/>
  <c r="N6" i="38" l="1"/>
  <c r="O6" i="76" l="1"/>
  <c r="O6" i="77" l="1"/>
  <c r="O6" i="65" l="1"/>
  <c r="J42" i="41"/>
  <c r="N6" i="71" l="1"/>
</calcChain>
</file>

<file path=xl/comments1.xml><?xml version="1.0" encoding="utf-8"?>
<comments xmlns="http://schemas.openxmlformats.org/spreadsheetml/2006/main">
  <authors>
    <author>User</author>
  </authors>
  <commentList>
    <comment ref="B25" authorId="0" shapeId="0">
      <text>
        <r>
          <rPr>
            <b/>
            <sz val="9"/>
            <color indexed="81"/>
            <rFont val="Tahoma"/>
            <family val="2"/>
          </rPr>
          <t>User:</t>
        </r>
        <r>
          <rPr>
            <sz val="9"/>
            <color indexed="81"/>
            <rFont val="Tahoma"/>
            <family val="2"/>
          </rPr>
          <t xml:space="preserve">
PAROC eXtra 160 в номенклатуре производителя отсутствует</t>
        </r>
      </text>
    </comment>
    <comment ref="B26" authorId="0" shapeId="0">
      <text>
        <r>
          <rPr>
            <b/>
            <sz val="9"/>
            <color indexed="81"/>
            <rFont val="Tahoma"/>
            <family val="2"/>
          </rPr>
          <t>User:</t>
        </r>
        <r>
          <rPr>
            <sz val="9"/>
            <color indexed="81"/>
            <rFont val="Tahoma"/>
            <family val="2"/>
          </rPr>
          <t xml:space="preserve">
Изменение чтобы сохранить толщину пирога утепления</t>
        </r>
      </text>
    </comment>
  </commentList>
</comments>
</file>

<file path=xl/sharedStrings.xml><?xml version="1.0" encoding="utf-8"?>
<sst xmlns="http://schemas.openxmlformats.org/spreadsheetml/2006/main" count="4815" uniqueCount="1589">
  <si>
    <t>Kods, tāmes Nr.</t>
  </si>
  <si>
    <t>1</t>
  </si>
  <si>
    <t>2</t>
  </si>
  <si>
    <t>3</t>
  </si>
  <si>
    <t>4</t>
  </si>
  <si>
    <t>6</t>
  </si>
  <si>
    <t>7</t>
  </si>
  <si>
    <t>9</t>
  </si>
  <si>
    <t>10</t>
  </si>
  <si>
    <t>11</t>
  </si>
  <si>
    <t>12</t>
  </si>
  <si>
    <t>13</t>
  </si>
  <si>
    <t>14</t>
  </si>
  <si>
    <t>Tāmes izmaksas :</t>
  </si>
  <si>
    <t>m²</t>
  </si>
  <si>
    <t>Vienības izmaksas</t>
  </si>
  <si>
    <t>Kopā uz visu apjomu</t>
  </si>
  <si>
    <t>Mēra vienība</t>
  </si>
  <si>
    <t>laika norma (c/h)</t>
  </si>
  <si>
    <t>Dau-dzums</t>
  </si>
  <si>
    <t>darbietil-pība (c./h)</t>
  </si>
  <si>
    <t>%</t>
  </si>
  <si>
    <t>8</t>
  </si>
  <si>
    <t>Kopā</t>
  </si>
  <si>
    <t>15</t>
  </si>
  <si>
    <t>5</t>
  </si>
  <si>
    <t>m³</t>
  </si>
  <si>
    <t>Nr. p.k.</t>
  </si>
  <si>
    <t>Darbu un resursu nosaukums</t>
  </si>
  <si>
    <t>gab.</t>
  </si>
  <si>
    <t>kompl.</t>
  </si>
  <si>
    <t>c/st</t>
  </si>
  <si>
    <t>Materiālu izkraušana</t>
  </si>
  <si>
    <t>Celtņa izmantošana</t>
  </si>
  <si>
    <t>m/m</t>
  </si>
  <si>
    <t>Elektroenerģija</t>
  </si>
  <si>
    <t>100m²</t>
  </si>
  <si>
    <t>100m³</t>
  </si>
  <si>
    <t>kg</t>
  </si>
  <si>
    <t>Tn.</t>
  </si>
  <si>
    <t>litri</t>
  </si>
  <si>
    <t>iep.</t>
  </si>
  <si>
    <t>t.m.</t>
  </si>
  <si>
    <t>Mehanizēta teritorijas planēšana</t>
  </si>
  <si>
    <t>Pagaidu laukumu izbūve</t>
  </si>
  <si>
    <t>Būvgružu iekraušana, izvešana un utilizācija</t>
  </si>
  <si>
    <t>Liekās grunts transportēšana</t>
  </si>
  <si>
    <t>GKB riģipsi</t>
  </si>
  <si>
    <t>šuvju sietlenta 48mmx90m</t>
  </si>
  <si>
    <t>Pavisam kopā</t>
  </si>
  <si>
    <t>Tas pats ar roku darba spēku</t>
  </si>
  <si>
    <t>Kg.</t>
  </si>
  <si>
    <t>Krustiņi</t>
  </si>
  <si>
    <t>100 gb.</t>
  </si>
  <si>
    <t>Nr.0-0</t>
  </si>
  <si>
    <t>Nr.1-1</t>
  </si>
  <si>
    <t>Nr.1-2</t>
  </si>
  <si>
    <t>Nr.1-4</t>
  </si>
  <si>
    <t>Nr.1-6</t>
  </si>
  <si>
    <t>Nr.1-7</t>
  </si>
  <si>
    <t>Nr.1-8</t>
  </si>
  <si>
    <t>Kopsavilkuma aprēķins par būvdarbu vai konstruktīvo elementu veidiem</t>
  </si>
  <si>
    <t>Darba veids vai konstruktīva elementa nosaukums</t>
  </si>
  <si>
    <t>Tai skaitā:</t>
  </si>
  <si>
    <t>Darbietilpība (c/h)</t>
  </si>
  <si>
    <t>Starpsumma</t>
  </si>
  <si>
    <t>Nr.2-2</t>
  </si>
  <si>
    <t>Būvlaukuma sagatavošanas  un uzturēšanas darbi</t>
  </si>
  <si>
    <t>Jumts</t>
  </si>
  <si>
    <t>Griesti</t>
  </si>
  <si>
    <t>Grīdas</t>
  </si>
  <si>
    <t>Daudzums</t>
  </si>
  <si>
    <t>1-1</t>
  </si>
  <si>
    <t>1-2</t>
  </si>
  <si>
    <t>Šuvju aizdare "MIRA Multipox 3650"</t>
  </si>
  <si>
    <t>Necaurspīdīgā plēve pie žoga</t>
  </si>
  <si>
    <t>Divvērtņu vārti ar slēdzeni uzstādīti žogā</t>
  </si>
  <si>
    <t>Būvlaukuma žogs no inventāriem žoga posmiem 3500x1800 (h)mm - uzstādīšana, nojaukšana, nomas maksa</t>
  </si>
  <si>
    <t>Deformācijas šuvju aizpildīšana</t>
  </si>
  <si>
    <t>Betonēšanas deformācijas šuvju vadula</t>
  </si>
  <si>
    <t xml:space="preserve">Grīdu segums no akmeņu flīzēm </t>
  </si>
  <si>
    <t>100 gab.</t>
  </si>
  <si>
    <t>Knauf skrūves LN 9mm</t>
  </si>
  <si>
    <t>kg.</t>
  </si>
  <si>
    <t>Nr.2-3</t>
  </si>
  <si>
    <t>Elektroapgādes un apgaismojums</t>
  </si>
  <si>
    <t>Nr.2-4</t>
  </si>
  <si>
    <t>ŪK</t>
  </si>
  <si>
    <t>Lokālā tāme Nr.0-0</t>
  </si>
  <si>
    <t>Lokālā tāme Nr.1-4</t>
  </si>
  <si>
    <t>Lokālā tāme Nr.1-8</t>
  </si>
  <si>
    <t>smiltis</t>
  </si>
  <si>
    <t>šķemba</t>
  </si>
  <si>
    <t>grants</t>
  </si>
  <si>
    <t>MP-75 maisījums</t>
  </si>
  <si>
    <t>mais.</t>
  </si>
  <si>
    <t xml:space="preserve">Moduļveida sadzīves mājiņas piegāde, uzstādīšana </t>
  </si>
  <si>
    <t>Pagaidu ūdensvada pieslēguma izbūve</t>
  </si>
  <si>
    <t>Stendi (Ugunsdzēsības stends ar piederumiem 2 gab.) ,būvtāfele ,brīdinājuma zīmes uzstādīšana</t>
  </si>
  <si>
    <t>Ūdensapgāde</t>
  </si>
  <si>
    <t>Geodēzija un izpīldokumentācija</t>
  </si>
  <si>
    <t>Zemes darbi</t>
  </si>
  <si>
    <t>Mehanizēta grunta rakšana</t>
  </si>
  <si>
    <t>DVP projektu izstrāde</t>
  </si>
  <si>
    <t>Starpsienas</t>
  </si>
  <si>
    <t>"SHEETROCK" špaktele</t>
  </si>
  <si>
    <t>28 kg.</t>
  </si>
  <si>
    <t>Smilšpapīrs uz audekla pamatnes 100-150</t>
  </si>
  <si>
    <t>Sienu špaktelēšana un slīpēšana</t>
  </si>
  <si>
    <t>Sienu gruntēšana</t>
  </si>
  <si>
    <t>krāsu tonēšana</t>
  </si>
  <si>
    <t>1. Sienu krāsošana</t>
  </si>
  <si>
    <t>2. Sienu flīžēšana</t>
  </si>
  <si>
    <t xml:space="preserve">Hidroizolācijas ieklāšana </t>
  </si>
  <si>
    <t>"Mira 3110 unifix" līme</t>
  </si>
  <si>
    <t>Flīžu šuvotājs MIRA Mastic</t>
  </si>
  <si>
    <t>Krustiņi 3 mm (100 gab.)</t>
  </si>
  <si>
    <t>Sienu flīzēšana</t>
  </si>
  <si>
    <t>Jumta tvaika izolācija</t>
  </si>
  <si>
    <t>darba samaksas likme €/h)</t>
  </si>
  <si>
    <t>darba alga(€)</t>
  </si>
  <si>
    <t>materiāli (€)</t>
  </si>
  <si>
    <t>mehānismi un instrumenti (€)</t>
  </si>
  <si>
    <t>darba alga (€)</t>
  </si>
  <si>
    <t>Summa €</t>
  </si>
  <si>
    <t>Kopā             €</t>
  </si>
  <si>
    <t>Dzeltenā tvaika izolācijas plēve 200 mikroni</t>
  </si>
  <si>
    <t>Mastertop 100 (terra cotta) virsmas cietinātājs betona grīdām</t>
  </si>
  <si>
    <t>Sikaflex 11FC šuvju mastika</t>
  </si>
  <si>
    <t>Grunts Mira 4180 primer</t>
  </si>
  <si>
    <t>Mira 4400 multicoat</t>
  </si>
  <si>
    <t>Stikla šķiedras audums Mira</t>
  </si>
  <si>
    <t>Stūra lenta</t>
  </si>
  <si>
    <t>neslīdošas akmens flīzes 7mm 30x30</t>
  </si>
  <si>
    <t>Flīžu līme "3000 Standartfix"</t>
  </si>
  <si>
    <t>PVC grīdlīstes ar kabeļkanālu un gumijotām malām komplektiem, ar k=1,1</t>
  </si>
  <si>
    <t>Linoleja ieklāšana</t>
  </si>
  <si>
    <t>līme Nibofloor S 800</t>
  </si>
  <si>
    <t>PVC grīdlīstu montāža</t>
  </si>
  <si>
    <t>WC piegāde, īre, apkalpošana 1 gab.</t>
  </si>
  <si>
    <t>Tāmes izmaksas (€)</t>
  </si>
  <si>
    <t>mehānismi (€)</t>
  </si>
  <si>
    <t>Nr.1-3</t>
  </si>
  <si>
    <t>Nr.2-1</t>
  </si>
  <si>
    <t>Knauf dibeli K 6/35мм</t>
  </si>
  <si>
    <t>Skāņu izolāciju montāža</t>
  </si>
  <si>
    <t>Automatika"Nice"</t>
  </si>
  <si>
    <t>Ķedes reduktors</t>
  </si>
  <si>
    <t>Mūra sienu apmetums</t>
  </si>
  <si>
    <t>1000 gab.</t>
  </si>
  <si>
    <t>CW-profils</t>
  </si>
  <si>
    <t>UW-profils</t>
  </si>
  <si>
    <t>Starpsienu apšūšana ar riģipsi</t>
  </si>
  <si>
    <t>Riģipša šuvju apstrāde</t>
  </si>
  <si>
    <t>Knauf Tiefengrund grunts  (0,25l= 1m²)</t>
  </si>
  <si>
    <t>špaktele "Uniflot"  (0,77kg = 1m²)</t>
  </si>
  <si>
    <t>"MIRA 4400 Multicoat" grunts</t>
  </si>
  <si>
    <t>Ēkas karkass</t>
  </si>
  <si>
    <t>1. Metāla karkass</t>
  </si>
  <si>
    <t>Palīgmateriāli (savienotāji,blīves,celt.putas, skārda elementi)</t>
  </si>
  <si>
    <t>Sastatņu montāža, pārvietošana un demontāža</t>
  </si>
  <si>
    <t>Sienu mūrēšana no "FIBO" blokiem 200 mm biezumā</t>
  </si>
  <si>
    <t>Linolejs Strong 6063 33kl ar sametinatam šuvēm</t>
  </si>
  <si>
    <t>Nesošā profila pārklāšana</t>
  </si>
  <si>
    <t>Palīgmateriāli (savienotāji,blīves,celt.putas, skārda elementi, stiprinājumi un citas)</t>
  </si>
  <si>
    <t>PAROC XMV 020 tvaika izolācija</t>
  </si>
  <si>
    <t>montāžas elementi</t>
  </si>
  <si>
    <t>Metālkarkasa ierīkošana Δ100 mm</t>
  </si>
  <si>
    <t>Apdares darbi</t>
  </si>
  <si>
    <t>Nr.1-5</t>
  </si>
  <si>
    <t>Lokālā tāme Nr.1-6</t>
  </si>
  <si>
    <t>Lokālā tāme Nr.1-5</t>
  </si>
  <si>
    <t>Sienas flīzes</t>
  </si>
  <si>
    <t>Esošas seguma noņemšana</t>
  </si>
  <si>
    <t xml:space="preserve"> </t>
  </si>
  <si>
    <t>Pamatu stiegrošana</t>
  </si>
  <si>
    <t>Weber M100/600 java</t>
  </si>
  <si>
    <t xml:space="preserve">Keramzītbloku armatūra </t>
  </si>
  <si>
    <t>Sienama armatūra</t>
  </si>
  <si>
    <t>Dz/betona grīdu slīpēšana/pastiprināšana</t>
  </si>
  <si>
    <t>Nr.0-1</t>
  </si>
  <si>
    <t>I. SAGATAVOŠANAS DARBI</t>
  </si>
  <si>
    <t>Lokālā tāme Nr.1-7</t>
  </si>
  <si>
    <t>Lokālā tāme  Nr.0-1</t>
  </si>
  <si>
    <t>Lokālā tāme  Nr.1-1</t>
  </si>
  <si>
    <t>Lokālā tāme Nr.1-2</t>
  </si>
  <si>
    <t>Lokālā tāme Nr.1-3</t>
  </si>
  <si>
    <t>Notekūdeņu sistēmu ierīkošana</t>
  </si>
  <si>
    <t>tekņu ākis</t>
  </si>
  <si>
    <t>uztvērējtekne</t>
  </si>
  <si>
    <t>Lāsenis</t>
  </si>
  <si>
    <t>konektors</t>
  </si>
  <si>
    <t>cauruļu stiprinājumi</t>
  </si>
  <si>
    <t>lejas gals</t>
  </si>
  <si>
    <t>līkumi</t>
  </si>
  <si>
    <t>notekcaurules</t>
  </si>
  <si>
    <t>kniedes</t>
  </si>
  <si>
    <t>silikons</t>
  </si>
  <si>
    <t>Logi, vārti un durvis</t>
  </si>
  <si>
    <t>II. VISPĀRCELTNIECISKIE DARBI</t>
  </si>
  <si>
    <t>GKBi riģipsi</t>
  </si>
  <si>
    <t>Administrācijas vagoniņa (vienlaicīgi apsardzes un strādnieku sadzīves telpa) 2,5x6 (15 m2)  īre 1 gb.</t>
  </si>
  <si>
    <t>Strādnieku vagoniņu 2,5x6x2,35 (15 m2) īre/ administrācijas konteinerā</t>
  </si>
  <si>
    <t>Instrumentu noliktava jūras konteiners 2,5x6 (15 m2)  1 gb.</t>
  </si>
  <si>
    <t>Apsardzes konteinera īre/administrācijas konteinerā</t>
  </si>
  <si>
    <t>Pagaidu elektroinstālācija</t>
  </si>
  <si>
    <t>Rakšanas atļaujas saņemšana</t>
  </si>
  <si>
    <t>Būvlaukuma apsardze, veicot regulāras būvlaukuma apgaitas nakts laikā</t>
  </si>
  <si>
    <t>Objekta apsardze</t>
  </si>
  <si>
    <r>
      <t>Sastādīja : _</t>
    </r>
    <r>
      <rPr>
        <i/>
        <u/>
        <sz val="8"/>
        <rFont val="Arial"/>
        <family val="2"/>
        <charset val="204"/>
      </rPr>
      <t>Sergejs Birjukovs (Sertifikāta Nr. 20-4502)</t>
    </r>
    <r>
      <rPr>
        <sz val="9"/>
        <rFont val="Arial"/>
        <family val="2"/>
        <charset val="204"/>
      </rPr>
      <t>_</t>
    </r>
  </si>
  <si>
    <t>Betons C30/37 XC2 XF2 XA1</t>
  </si>
  <si>
    <t>"Fibo" bloki 200 mm</t>
  </si>
  <si>
    <t>Sastatņu īre 3,5 mēn.</t>
  </si>
  <si>
    <t>Saliekamo dz'b paneļu montāža, ieskaitot stiegrošanu un šuvju aizbetonēšanu</t>
  </si>
  <si>
    <t>Piekārtie griesti</t>
  </si>
  <si>
    <t>Hidroizolācjas noklāšana</t>
  </si>
  <si>
    <t>Nr.2-5</t>
  </si>
  <si>
    <t>Apkure</t>
  </si>
  <si>
    <t>Siltummezgls</t>
  </si>
  <si>
    <t>VST</t>
  </si>
  <si>
    <t>IV. INŽENIERKOMUNIKĀCIJAS  ĀRĒJIE TIKLI</t>
  </si>
  <si>
    <t>Nr.1-9</t>
  </si>
  <si>
    <t>Labiekārtošana</t>
  </si>
  <si>
    <t>ŪKT</t>
  </si>
  <si>
    <t>ELT</t>
  </si>
  <si>
    <t>Nr.3-1</t>
  </si>
  <si>
    <t>0-cikls</t>
  </si>
  <si>
    <t>Lokālā tāme Nr.2-3</t>
  </si>
  <si>
    <t>Automātiskais atgaisotājs</t>
  </si>
  <si>
    <t>Montāžas un stiprinājuma materiāli</t>
  </si>
  <si>
    <t>Izpildokumentācija</t>
  </si>
  <si>
    <t>Ārsienu izbūve ar "sendvič" paneliem TRIMO T-FTV 150 mm</t>
  </si>
  <si>
    <t>Starpsienu izbūve ar "sendvič" paneliem TRIMO T-FTV 100 mm</t>
  </si>
  <si>
    <t>Ārsienu apdare</t>
  </si>
  <si>
    <t>Z-120 metāla profils t=1,2 mm</t>
  </si>
  <si>
    <t>montāžas materiāli</t>
  </si>
  <si>
    <t>Sienu apšūšana ar profilēta metāla lokšņu</t>
  </si>
  <si>
    <t>Griestu apšūšana ar riģipsi</t>
  </si>
  <si>
    <t>CD-profils</t>
  </si>
  <si>
    <t>UD-profils</t>
  </si>
  <si>
    <t>CD profilu savienotājs</t>
  </si>
  <si>
    <t>Dībelis-nagla Knauf 6/35мм</t>
  </si>
  <si>
    <t>CD profilu ātrā enkuriekare</t>
  </si>
  <si>
    <t>iekares stieple ar cilpu</t>
  </si>
  <si>
    <t>Knauf skrūves TN 3,5x25</t>
  </si>
  <si>
    <t>Knauf Tiefengrund grunts (0,15L/1m²)</t>
  </si>
  <si>
    <t>špaktele "Uniflot"  (0,77kg/1m²)</t>
  </si>
  <si>
    <t>Griestu špaktelēšana, slīpēšana</t>
  </si>
  <si>
    <t>Griestu krāsošana</t>
  </si>
  <si>
    <t>Sadolin Bindo 10 matēta krāsa sienām</t>
  </si>
  <si>
    <t>grunts</t>
  </si>
  <si>
    <t>Tips, marka, Ražotājs</t>
  </si>
  <si>
    <t>darba alga                (€)</t>
  </si>
  <si>
    <t>materiāli            (€)</t>
  </si>
  <si>
    <t>Kopā            €</t>
  </si>
  <si>
    <t>Summa            €</t>
  </si>
  <si>
    <t>Nr.2-6</t>
  </si>
  <si>
    <t>Ventilācija un Kondicionēšana</t>
  </si>
  <si>
    <t>Lokālā tāme Nr.2-4</t>
  </si>
  <si>
    <t>Elektriskais aizbīdnis DN50 ar automātikas vadības bloku</t>
  </si>
  <si>
    <t>Savienojoša uzmava ner.tērauds/tērauds DN50</t>
  </si>
  <si>
    <t>Fasondaļas un stiprinājumi ugunsdzēsības caurulei no tērauda DN50</t>
  </si>
  <si>
    <t>Ūdensvada hidrauliskā pārbaude</t>
  </si>
  <si>
    <t>SADZĪVES KANALIZĀCIJAS TĪKLS (K1)</t>
  </si>
  <si>
    <t>AUKSTĀ ŪDENSVADA TĪKLS (Ū1)</t>
  </si>
  <si>
    <t>Aizbīdnis DN50</t>
  </si>
  <si>
    <t>KARSTĀ ŪDENSVADA TĪKLS (S3)</t>
  </si>
  <si>
    <t>CIRKULĀCIJAS ŪDENSVADA TĪKLS (S4)</t>
  </si>
  <si>
    <t>7-1</t>
  </si>
  <si>
    <t>7-2</t>
  </si>
  <si>
    <t>7-3</t>
  </si>
  <si>
    <t>7-4</t>
  </si>
  <si>
    <t>7-5</t>
  </si>
  <si>
    <t>Lokālā tāme Nr.2-5</t>
  </si>
  <si>
    <t>Lokālā tāme Nr.2-6</t>
  </si>
  <si>
    <t>Apsardzes signalizācijas sistēma</t>
  </si>
  <si>
    <t>Montāžas materiāli</t>
  </si>
  <si>
    <t>UGUNSDZĒSĪBAS AUTOMĀTISKAS SISTĒMAS</t>
  </si>
  <si>
    <t>m</t>
  </si>
  <si>
    <t>Lokālā tāme Nr.3-1</t>
  </si>
  <si>
    <t>ĀRĒJIE TĪKLI</t>
  </si>
  <si>
    <t>Betona balsts</t>
  </si>
  <si>
    <t>vieta</t>
  </si>
  <si>
    <t>Lokālā tāme Nr.3-2</t>
  </si>
  <si>
    <t>objekts</t>
  </si>
  <si>
    <t>Signāllenta kabeļlīnijai, platums 80 mm</t>
  </si>
  <si>
    <t xml:space="preserve">Elektrods zemējuma, cinkots tērauds ar iespēju pagarināt, d=16 mm, 1.5m  </t>
  </si>
  <si>
    <t>Zemējuma stieple, cinkota d=8 mm</t>
  </si>
  <si>
    <t>Elektroda uzgalis, iesišanai zemē</t>
  </si>
  <si>
    <t>Jumta siltumizolācija ∆=180 mm 2 kārt.</t>
  </si>
  <si>
    <t>Grīdu hidroizolācija</t>
  </si>
  <si>
    <t>Dzeltenā izolācijas plēve 200 mikroni</t>
  </si>
  <si>
    <t>Ģipša kartona starpsienu Δ=125 mm montāža Tips S-1</t>
  </si>
  <si>
    <t>Lokālā tāme Nr.1-9</t>
  </si>
  <si>
    <t>SAGATAVOŠANAS DARBI</t>
  </si>
  <si>
    <t>Betona bruģa segums, h=8 cm</t>
  </si>
  <si>
    <t>Rupja smilts, h=3 cm</t>
  </si>
  <si>
    <t>APMAĻU UZSTĀDĪŠANA</t>
  </si>
  <si>
    <t>NOSTIPRINĀŠANAS DARBI</t>
  </si>
  <si>
    <t>ŽOGA UZSTĀDĪŠANA</t>
  </si>
  <si>
    <t>APRĪKOJUMS</t>
  </si>
  <si>
    <t>Horizontālais apzīmējums, Nr. 942</t>
  </si>
  <si>
    <t>Dušas kabīne, vācele, sifons, jaucējkrāns, 2 ventiļi ø15</t>
  </si>
  <si>
    <t>Armešanas sietu uzstādīšana</t>
  </si>
  <si>
    <t>fiksatori</t>
  </si>
  <si>
    <t xml:space="preserve">Grīdu segums no keramikas flīzēm </t>
  </si>
  <si>
    <r>
      <t xml:space="preserve">Pasūtītājs : </t>
    </r>
    <r>
      <rPr>
        <b/>
        <sz val="9"/>
        <rFont val="Arial"/>
        <family val="2"/>
        <charset val="204"/>
      </rPr>
      <t>Valkas novada dome</t>
    </r>
  </si>
  <si>
    <r>
      <t xml:space="preserve">Objekta adrese: </t>
    </r>
    <r>
      <rPr>
        <b/>
        <sz val="9"/>
        <rFont val="Arial"/>
        <family val="2"/>
        <charset val="204"/>
      </rPr>
      <t>“Cepļa pļavas”, Valka, Valkas novads”</t>
    </r>
  </si>
  <si>
    <t>Nr.1-10</t>
  </si>
  <si>
    <t>Nr.1-11</t>
  </si>
  <si>
    <t>Nr.1-12</t>
  </si>
  <si>
    <t>II (2). Pakošanas cehs ar administratīvām un sadzīves telpām (1913,4 m²)</t>
  </si>
  <si>
    <t>1-1. Dzelzsbetona pamati SP-1 (38 gab.)</t>
  </si>
  <si>
    <t>2. Cokolu sijas</t>
  </si>
  <si>
    <t>3.  Grīdas</t>
  </si>
  <si>
    <t>2. Sienu izbūve</t>
  </si>
  <si>
    <t>2-1.Ārsienu apdare</t>
  </si>
  <si>
    <t>Konstrukciju betonēšana</t>
  </si>
  <si>
    <t xml:space="preserve">Veidņu noma </t>
  </si>
  <si>
    <t xml:space="preserve">Papildmateriāli </t>
  </si>
  <si>
    <t>Sūknis</t>
  </si>
  <si>
    <t>m/h</t>
  </si>
  <si>
    <t>Stiegrojums</t>
  </si>
  <si>
    <t>stiegrojuma distanceri</t>
  </si>
  <si>
    <t>Monolīta konstrukciju stiegrošana</t>
  </si>
  <si>
    <t>2-3. Sienu izbūve ar "FIBO" blokiem</t>
  </si>
  <si>
    <t>2-4. Sienu izbūve ar "sendvič" paneliem</t>
  </si>
  <si>
    <t>3. Pārsegums</t>
  </si>
  <si>
    <t>III. INŽENIERKOMUNIKĀCIJAS IEKŠEJIE TIKLI</t>
  </si>
  <si>
    <t>Dz.betona kāpņu laidu montāža</t>
  </si>
  <si>
    <t>Dz.betona kāpņu laukumu  KP-1montāža</t>
  </si>
  <si>
    <t>4.Kāpnes</t>
  </si>
  <si>
    <t>V. Labiekārtošana</t>
  </si>
  <si>
    <t>Nr. 4-1</t>
  </si>
  <si>
    <t>Lokālā tāme Nr.1-10</t>
  </si>
  <si>
    <t>Lokālā tāme Nr.1-11</t>
  </si>
  <si>
    <t>Grīdu siltumizolācija ∆100 mm</t>
  </si>
  <si>
    <t>Lokālā tāme Nr.1-12</t>
  </si>
  <si>
    <t>Betons C25/30 XC2 XF2</t>
  </si>
  <si>
    <t>Betons C30/37 XC2</t>
  </si>
  <si>
    <t>Betons C 8/10</t>
  </si>
  <si>
    <t>Veidņu noma</t>
  </si>
  <si>
    <t>Betona sagatavošanas kārtas betonēšana</t>
  </si>
  <si>
    <t>Betons C 30/37 XA2 XF1</t>
  </si>
  <si>
    <t>Pamatu betonēšana</t>
  </si>
  <si>
    <t>Betons C 30/37 XA1 XF2</t>
  </si>
  <si>
    <t>Enkurbultu montāža</t>
  </si>
  <si>
    <t>Veidņu materiāli</t>
  </si>
  <si>
    <t>2-1. Cokola sija PS-1 (269,0 t.m.)</t>
  </si>
  <si>
    <t>2-2. Cokola sija PS-1* (11,2 t.m.)</t>
  </si>
  <si>
    <t>Pamatu siju betonēšana</t>
  </si>
  <si>
    <t>Pamatu siju stiegrošana</t>
  </si>
  <si>
    <t xml:space="preserve">Monolīta dz/betona apmales betonēšana </t>
  </si>
  <si>
    <t>Monolīta dz/betona apmaļu stiegrošana</t>
  </si>
  <si>
    <t>2-3. Betona apmale</t>
  </si>
  <si>
    <t>Ģeokompozīta Combigrid 30/30 Q6  ieklāšana</t>
  </si>
  <si>
    <t xml:space="preserve">Monolīta dz/betona grīdu plātnes betonēšana </t>
  </si>
  <si>
    <t>Monolīta dz/betona grīdu plātņu stiegrošana</t>
  </si>
  <si>
    <t>Metāla konstrukciju izgatavošana (t.sk. KMD), piegāde, konstrukciju krāsošana IE30 un montāža</t>
  </si>
  <si>
    <t>Sienu apšūšana ar polikarbonāta lokšņu</t>
  </si>
  <si>
    <t>šūnveida polikarbonāta loksnes 16 mm caurspīdīgs</t>
  </si>
  <si>
    <t>Jumta dūmu barjera ierīkošana</t>
  </si>
  <si>
    <t>STIKLA ŠĶIEDRAS AUDUMS 160g/m²</t>
  </si>
  <si>
    <t>1. Dzelzsbetona pamati (56 gab.)</t>
  </si>
  <si>
    <t>1. Dzelzsbetona pamati (46 gab.)</t>
  </si>
  <si>
    <t>1-2. Dzelzsbetona pamats SP-2 (14 gab.)</t>
  </si>
  <si>
    <t>1-3. Dzelzsbetona pamats SP-3 (4 gab.)</t>
  </si>
  <si>
    <t>2-1. Cokola sija PS-1 (179,8 t.m.)</t>
  </si>
  <si>
    <t>II (1). NOLIKTAVA (2404,0 m²)</t>
  </si>
  <si>
    <t>2-2. Dzelzsbetona sienas DS-1</t>
  </si>
  <si>
    <t>MS-1 siju betonēšana</t>
  </si>
  <si>
    <t>MS-1 siju stiegrošana</t>
  </si>
  <si>
    <t>saliekamais dz/b panelis, b=220mm</t>
  </si>
  <si>
    <t>līme "SAKRET BK"</t>
  </si>
  <si>
    <t>Fasādes izolācijas tapas (dībeļi) ar METĀLA naglu 10x220mm</t>
  </si>
  <si>
    <t>stikla šķiedras siets (Valmieras 1 klase, Dzeltens, 160g)</t>
  </si>
  <si>
    <t>armēšanas java SAKRET BAK 25 kg.</t>
  </si>
  <si>
    <t>palīgmateriāli</t>
  </si>
  <si>
    <t>Gruntskrāsa "SAKRET PG"</t>
  </si>
  <si>
    <t>SAKRET dekoratīvais apmetums 
3mm SBP (biezpiens)</t>
  </si>
  <si>
    <t>"Amphisilan TIEFGRUND LF" grunts</t>
  </si>
  <si>
    <t>Krāsa fasādes "MURESKO Premium"</t>
  </si>
  <si>
    <t>Cokola siltināšana</t>
  </si>
  <si>
    <t>PAROC WAS 25t 30 mm</t>
  </si>
  <si>
    <t>PAROC eXtra 150 mm</t>
  </si>
  <si>
    <t>Ieejas jumtiņš (TRIECIENDROŠS ORGANISKAIS STIKLS 1000x1700 AR TROŠU ATSATĒM 1,7m²)</t>
  </si>
  <si>
    <t>Iekšējās palodzes uzstādīšana</t>
  </si>
  <si>
    <t>stiprinājumi un montāžas materiāli</t>
  </si>
  <si>
    <t>Arējās palodzes sagatavošana un uzstādīšana</t>
  </si>
  <si>
    <t>Palodze plastizols 150 mm</t>
  </si>
  <si>
    <t>stiprinājumi</t>
  </si>
  <si>
    <t>plastikāta palodze pl: 25cm</t>
  </si>
  <si>
    <t>3.  Grīdas plātnes</t>
  </si>
  <si>
    <t>3-1. Nesošā grīda G-1 (540,0 m²)</t>
  </si>
  <si>
    <t>3-2. Nesošā grīda G-2 (1080,0 m²)</t>
  </si>
  <si>
    <t>3-3. Grīdu siltumizolācija (353,3 m²)</t>
  </si>
  <si>
    <t>Katla apsaiste</t>
  </si>
  <si>
    <t>Čuguna malkas katls ar termomehānisko vilkmes regulatoru un katla drošības grupu</t>
  </si>
  <si>
    <t>Ferroli</t>
  </si>
  <si>
    <t>Yonos Pico 25/1-6 Q=0.65m3/h, H=4m</t>
  </si>
  <si>
    <t>Yonos Pico 25/1-8 Q=0.76m3/h, H=6m</t>
  </si>
  <si>
    <t>Yonos Pico 15/1-6 Q=0.2m3/h, H=5m</t>
  </si>
  <si>
    <t>Yonos Maxo 30/0.5-7 Q=3.0m3/h, H=6m</t>
  </si>
  <si>
    <t>Yonos Pico 15/1-6 Q=1.2m3/h, H=3m</t>
  </si>
  <si>
    <t>Karstā ūdens kombinētais Boilers ar elektr. teni 2.7kW</t>
  </si>
  <si>
    <t>Katla drošības grupa</t>
  </si>
  <si>
    <t>Izplešanās trauks ar stiprināšanas kompl</t>
  </si>
  <si>
    <t>Lodveida noslēgvārsts</t>
  </si>
  <si>
    <t>DN20, PN6</t>
  </si>
  <si>
    <t>DN25, PN6</t>
  </si>
  <si>
    <t>DN32, PN6</t>
  </si>
  <si>
    <t>No netīšas aizvēršanas aizsargāts ventils</t>
  </si>
  <si>
    <t>Vienvirziena vārsts</t>
  </si>
  <si>
    <t>3-cela vārsts ar piedziņu AMV10</t>
  </si>
  <si>
    <t>Izlaides ventils</t>
  </si>
  <si>
    <t>DN15</t>
  </si>
  <si>
    <t>Ūdens filtrs</t>
  </si>
  <si>
    <t>DN20</t>
  </si>
  <si>
    <t>DN25</t>
  </si>
  <si>
    <t>DN32</t>
  </si>
  <si>
    <t>Ūdens skaitītājs</t>
  </si>
  <si>
    <t>Elektrometināmā tērauda caurule EN 10216-2</t>
  </si>
  <si>
    <t>26,9x2,6 (DN20)</t>
  </si>
  <si>
    <t>33,7x2,6 (DN25)</t>
  </si>
  <si>
    <t>42,3x2,6 (DN32)</t>
  </si>
  <si>
    <t>60,3x3,2 (DN50)</t>
  </si>
  <si>
    <t>76,3x3,2 (DN65)</t>
  </si>
  <si>
    <t>Cauruļvada līkums EN 10217-2</t>
  </si>
  <si>
    <t>Cauruļvada trejgabals ar sašaurinājumu</t>
  </si>
  <si>
    <t>Cauruļvada pāreja</t>
  </si>
  <si>
    <t>Gruntējums</t>
  </si>
  <si>
    <t>URF 0110</t>
  </si>
  <si>
    <t>Termometrs 0-100C</t>
  </si>
  <si>
    <t>Monometrs 0-6bar</t>
  </si>
  <si>
    <t>Vadības bloks</t>
  </si>
  <si>
    <t>Telpas temperatūras devējs</t>
  </si>
  <si>
    <t>Ara gaisa temperatūras devējs</t>
  </si>
  <si>
    <t>Cauruļu virsmu temp.sensors</t>
  </si>
  <si>
    <t>Hidrauliskā pārbaude</t>
  </si>
  <si>
    <t>Elektroinstalācijas materiāli</t>
  </si>
  <si>
    <t>Elastīgie ugunsdrošie hermētiķi</t>
  </si>
  <si>
    <t>Izolēta dūmvada posms l=0.25m</t>
  </si>
  <si>
    <t>Dūmvada tīrīšana trejgabals</t>
  </si>
  <si>
    <t>Kondensēta izvadīšanas korķis</t>
  </si>
  <si>
    <t>Pieslēguma trejgabals izolēts</t>
  </si>
  <si>
    <t>Šīberis</t>
  </si>
  <si>
    <t>Dūmvada jumta noslēgplakne</t>
  </si>
  <si>
    <t>Dūmvada izvada konuss</t>
  </si>
  <si>
    <t>Dūmvada sienas stiprinājuma materiāli</t>
  </si>
  <si>
    <t>Dūmvada sienas balsts</t>
  </si>
  <si>
    <t>Dūmvada savienojuma skavas</t>
  </si>
  <si>
    <t>Dūmvada un apkures katla savienojums kite</t>
  </si>
  <si>
    <t>ø26,9-90</t>
  </si>
  <si>
    <t>ø33,7</t>
  </si>
  <si>
    <t>ø42,3</t>
  </si>
  <si>
    <t>ø60,3</t>
  </si>
  <si>
    <t>ø180/ø280</t>
  </si>
  <si>
    <t>ø180</t>
  </si>
  <si>
    <t>ø180/ø280-90'</t>
  </si>
  <si>
    <t>ø180/ø280 -90'</t>
  </si>
  <si>
    <t>ø180/ø280 -10'</t>
  </si>
  <si>
    <t>ø180/ø280, L=300mm</t>
  </si>
  <si>
    <t>ø180/ø280, L-475mm</t>
  </si>
  <si>
    <t>Danfoss ECL310</t>
  </si>
  <si>
    <t>Danfoss ESM10</t>
  </si>
  <si>
    <t>Danfoss ESMT</t>
  </si>
  <si>
    <t>Danfoss ESMC</t>
  </si>
  <si>
    <t>ø28/b=20mm</t>
  </si>
  <si>
    <t>ø35/b=20mm</t>
  </si>
  <si>
    <t>ø48/b=20mm</t>
  </si>
  <si>
    <t>ø60/b=30mm</t>
  </si>
  <si>
    <t>ø76/b=30mm</t>
  </si>
  <si>
    <t>B-Meters Dn20, Qn=1.5m3/h</t>
  </si>
  <si>
    <t>Danfoss VF3, DN15, Kvs=4.0</t>
  </si>
  <si>
    <t>Ferroli Eco un it F-1C, V=500l</t>
  </si>
  <si>
    <t>ELBI ERE-24, V=24l</t>
  </si>
  <si>
    <t>ELBI ERL-D-24, V=24l</t>
  </si>
  <si>
    <t>Ferroli SFL6</t>
  </si>
  <si>
    <t>Katla cirkulācijas sūknis Wilo</t>
  </si>
  <si>
    <t>Apkures loka cirkulācijas sūknis Wilo</t>
  </si>
  <si>
    <t>Ventilācijas siltumapgādes sūknis Wilo</t>
  </si>
  <si>
    <t>Karstā ūdens apgādes sūknis Wilo</t>
  </si>
  <si>
    <t>Karstā ūdens cirkulācijas sūknis Wilo</t>
  </si>
  <si>
    <t>UGUNSDZĒSĪBAS ŪDENSVADA CAURUĻVADS (Ū2)</t>
  </si>
  <si>
    <t>Pakošanas cehs ar administratīvām un sadzīves telpām</t>
  </si>
  <si>
    <t>Ugunsdzēsības caurules no cinkota tērauda 60,3x3,6 (DN50)</t>
  </si>
  <si>
    <t xml:space="preserve">Ugunsdzēsības krāns DN50 ar šļūteni L=20 m, ar noslēdzamo stobru DN13 un 1gb. ugunsdzēsības aparātu skapitī </t>
  </si>
  <si>
    <t>Iztukšošanas ventilis DN20</t>
  </si>
  <si>
    <t>Manometrs</t>
  </si>
  <si>
    <t>Pārēja ar atlokiem no DN50 uz DN65</t>
  </si>
  <si>
    <t>Universālais savienojošais adapteris DN65 ar atlokiem</t>
  </si>
  <si>
    <t>Elektriskais sildkabelis ar vadības bloku</t>
  </si>
  <si>
    <t>Ugunsdrošības aploces</t>
  </si>
  <si>
    <t>Noliktava</t>
  </si>
  <si>
    <t>Skapis uz ievada ar siltumizolāciju</t>
  </si>
  <si>
    <t xml:space="preserve">Pašteces kanalizācijas caurule ∅50, PP, SN4, ar fasondaļām un stiprinājumiem </t>
  </si>
  <si>
    <t xml:space="preserve">Pašteces kanalizācijas caurule ∅110, PP, SN8, ar fasondaļām un stiprinājumiem </t>
  </si>
  <si>
    <t>Revīzija Ø110</t>
  </si>
  <si>
    <t>Noslēgtapa tīrīšanai Ø110</t>
  </si>
  <si>
    <t>Apkalpošanas lūka (sifonu un revīzijas uzstādīšanas vietās)</t>
  </si>
  <si>
    <t>Kanalizācijas stāvvada izvads ar Ø110 jumtā</t>
  </si>
  <si>
    <t>Klozetpods, skalošanas tvertne, ventilis Ø15</t>
  </si>
  <si>
    <t>Rokas māzgātne, sifons un jaucējkrāns, 2 ventiļi Ø15</t>
  </si>
  <si>
    <t>Ugunsdrošības aploce caurulei d110</t>
  </si>
  <si>
    <t xml:space="preserve">Ūdensvada caurule De40, PE-RT/AL, PN10, ar fasondaļām un stiprinājumiem, ar pretkondensāta izolāciju 13mm, 0.040W/mK </t>
  </si>
  <si>
    <t xml:space="preserve">Ūdensvada caurule De32, PE-RT/AL, PN10, ar fasondaļām un stiprinājumiem, ar pretkondensāta izolāciju 13mm, 0.040W/mK </t>
  </si>
  <si>
    <t xml:space="preserve">Ūdensvada caurule De25, PE-RT/AL, PN10, ar fasondaļām un stiprinājumiem, ar pretkondensāta izolāciju 13mm, 0.040W/mK </t>
  </si>
  <si>
    <t xml:space="preserve">Ūdensvada caurule De20, PE-RT/AL, PN10, ar fasondaļām un stiprinājumiem, ar pretkondensāta izolāciju 13mm, 0.040W/mK </t>
  </si>
  <si>
    <t>Ventilis DN40</t>
  </si>
  <si>
    <t>Ventilis DN32</t>
  </si>
  <si>
    <t>Ventilis DN25</t>
  </si>
  <si>
    <t>Vienvirziena vārsts DN25</t>
  </si>
  <si>
    <t xml:space="preserve">Ūdensvada caurule De32, PE-RT/AL, PN10, ar fasondaļām un stiprinājumiem, ar pretsiltuma izolāciju 20mm, 0.040W/mK </t>
  </si>
  <si>
    <t xml:space="preserve">Ūdensvada caurule De25, PE-RT/AL, PN10, ar fasondaļām un stiprinājumiem, ar pretsiltuma izolāciju 20mm, 0.040W/mK </t>
  </si>
  <si>
    <t xml:space="preserve">Ūdensvada caurule De20, PE-RT/AL, PN10, ar fasondaļām un stiprinājumiem, ar pretsiltuma izolāciju 20mm, 0.040W/mK </t>
  </si>
  <si>
    <t>Ventilis DN20</t>
  </si>
  <si>
    <t xml:space="preserve">Ūdensvada caurule De16, PE-RT/AL, PN10, ar fasondaļām un stiprinājumiem, ar pretsiltuma izolāciju 20mm, 0.040W/mK </t>
  </si>
  <si>
    <t>Lodveida ventilis DN15</t>
  </si>
  <si>
    <t>Balansa ventilis DN15</t>
  </si>
  <si>
    <t>Ugunsdrošības aploce caurulei de16</t>
  </si>
  <si>
    <t>Apkures sistēma S11,S21</t>
  </si>
  <si>
    <t>Daudzslāņu metālpolimēru presējamās caurules Tigris K1, Pe-Xc</t>
  </si>
  <si>
    <t>Wavin</t>
  </si>
  <si>
    <t>Tigris K1 cauruļvadu veidgabali</t>
  </si>
  <si>
    <t>Tigris K1 cauruļvadu presējamie savienojumi</t>
  </si>
  <si>
    <t>Kaučuka siltumizolācija K-Flex-EC</t>
  </si>
  <si>
    <t>Radiators "Purmo Compact" ar sienas stiprinājumiem, sānu pieslēgumu un atgaisotāju</t>
  </si>
  <si>
    <t>C11-300-500</t>
  </si>
  <si>
    <t>C21-300-500</t>
  </si>
  <si>
    <t>C21400-600</t>
  </si>
  <si>
    <t>C22-400-500</t>
  </si>
  <si>
    <t>C22400-700</t>
  </si>
  <si>
    <t>C22400-800</t>
  </si>
  <si>
    <t>C22400-900</t>
  </si>
  <si>
    <t>C22-500-1100</t>
  </si>
  <si>
    <t>C33-600-900</t>
  </si>
  <si>
    <t>Radiatora noslēgvārsts ar leņķi</t>
  </si>
  <si>
    <t>Radiatora termoventilis 90' ar termogalvu</t>
  </si>
  <si>
    <t>Automātiksais atgaisotājs</t>
  </si>
  <si>
    <t>Balansēšanas vārsts ar noslēgvārstu</t>
  </si>
  <si>
    <t>Ugunsdrošie materiāli neblīvumu aizdarei</t>
  </si>
  <si>
    <t>Ventilācijas siltumapgāde S12,S22</t>
  </si>
  <si>
    <t>Kalorifera hidrauliskais regulēšanas mezgls</t>
  </si>
  <si>
    <t>Ventilācijas sistēma P1/N1</t>
  </si>
  <si>
    <t>Gaisa apstrādes iekārta (P1/N1) ar rotora siltummainĻ filtriem, ventilatoriem, ūdens kaloriferu. vadību un automātiku</t>
  </si>
  <si>
    <t>Apaļais gaisa vads cinkotais</t>
  </si>
  <si>
    <t>300x100</t>
  </si>
  <si>
    <t>700x350</t>
  </si>
  <si>
    <t>800x400</t>
  </si>
  <si>
    <t>Gaisa vada līkums cinkotais</t>
  </si>
  <si>
    <t>700x350-90</t>
  </si>
  <si>
    <t>Gaisa vada sānu pievienojums</t>
  </si>
  <si>
    <t>Gaisa vada trejgabals</t>
  </si>
  <si>
    <t>Gaisa vada pāreja</t>
  </si>
  <si>
    <t>700x350/800x400</t>
  </si>
  <si>
    <t>Gaisa vada gala vāks</t>
  </si>
  <si>
    <t>Pieplūdes difuzors</t>
  </si>
  <si>
    <t>Pieplūdes reste</t>
  </si>
  <si>
    <t>Nosūces difuzors</t>
  </si>
  <si>
    <t>Nosūces reste</t>
  </si>
  <si>
    <t>Gaisa droseļvārsts</t>
  </si>
  <si>
    <t>Ugunsdrošības vārsts ar kūstošo elementu</t>
  </si>
  <si>
    <t>Trokšņu slāpētājs</t>
  </si>
  <si>
    <t>Siltumizolācija Paroc LAM ALC</t>
  </si>
  <si>
    <t>B=100mm</t>
  </si>
  <si>
    <t>Gaisa ieņemšanas reste</t>
  </si>
  <si>
    <t>Taisnstūra gaisa novadītājs virs jumta ar sietu</t>
  </si>
  <si>
    <t>Ugunsdrošie materiāli caurumu, neblīvumu aizdarei</t>
  </si>
  <si>
    <t>Ventilācijas sistēma PD1, ND-1</t>
  </si>
  <si>
    <t>Āra reste</t>
  </si>
  <si>
    <t>Noslēgvārsts</t>
  </si>
  <si>
    <t>Caurumu aizdarisanas materiāli</t>
  </si>
  <si>
    <t>Ventilācijas sistēma NT-1</t>
  </si>
  <si>
    <t>Filtrācijas iekārta ULMATEC IEP 25-2-2 /3.0 MD (N) ( Sprādziedrošā izpildījumā) ar iebūvētu ciklonu un H-Line X kontrolieri</t>
  </si>
  <si>
    <t>Indutek</t>
  </si>
  <si>
    <t>Automātiskā filtru attīrīšanas sistēma ar saspiestu gaisu</t>
  </si>
  <si>
    <t>Ugunsdzēsības sistēma ar dzirksteļu sensoru, ātrās darbības vārstu un pulvera ugunsdzēsībās aparātu</t>
  </si>
  <si>
    <t>H14 HEPA filtrs</t>
  </si>
  <si>
    <t>Mobilās nosūces kape ULMATEC AHS-100x80 ( Sprādziedrošā izpildījumā)</t>
  </si>
  <si>
    <t>Lokālā tāme Nr.2-1</t>
  </si>
  <si>
    <t>Lokālā tāme Nr.2-2</t>
  </si>
  <si>
    <r>
      <t>Spēka sadalne</t>
    </r>
    <r>
      <rPr>
        <b/>
        <sz val="10"/>
        <rFont val="Arial"/>
        <family val="2"/>
        <charset val="204"/>
      </rPr>
      <t xml:space="preserve"> GS</t>
    </r>
  </si>
  <si>
    <t>Elektrosadales  skapis Unom=400/230V, 50Hz,  IP44, virsbūvēts, ar slēdzeni.</t>
  </si>
  <si>
    <t>A9F74340</t>
  </si>
  <si>
    <t>A9F74332</t>
  </si>
  <si>
    <t>A9F74325</t>
  </si>
  <si>
    <t>A9D20616</t>
  </si>
  <si>
    <t>Automātslēdzis,  230V, 1-polu,  10A, C</t>
  </si>
  <si>
    <t>A9F3110</t>
  </si>
  <si>
    <t>Automātslēdzis,  400/230V, 1-polu/3-polu precīzēt montāžas gaitā</t>
  </si>
  <si>
    <r>
      <t>Spēka sadalne</t>
    </r>
    <r>
      <rPr>
        <b/>
        <sz val="10"/>
        <rFont val="Arial"/>
        <family val="2"/>
        <charset val="204"/>
      </rPr>
      <t xml:space="preserve"> AS1</t>
    </r>
  </si>
  <si>
    <t>A9S65340</t>
  </si>
  <si>
    <t>A9F74320</t>
  </si>
  <si>
    <t>A9F74316</t>
  </si>
  <si>
    <t>A9Z05425</t>
  </si>
  <si>
    <t>A9K02116</t>
  </si>
  <si>
    <t>A9K02110</t>
  </si>
  <si>
    <t>Automātslēdzis,  230V, 1-polu,  6A, C</t>
  </si>
  <si>
    <t>A9F3106</t>
  </si>
  <si>
    <t>A9C20731</t>
  </si>
  <si>
    <t>A9C20833</t>
  </si>
  <si>
    <r>
      <t>Spēka sadalne</t>
    </r>
    <r>
      <rPr>
        <b/>
        <sz val="10"/>
        <rFont val="Arial"/>
        <family val="2"/>
        <charset val="204"/>
      </rPr>
      <t xml:space="preserve"> AS2</t>
    </r>
  </si>
  <si>
    <r>
      <t>Spēka sadalne</t>
    </r>
    <r>
      <rPr>
        <b/>
        <sz val="10"/>
        <rFont val="Arial"/>
        <family val="2"/>
        <charset val="204"/>
      </rPr>
      <t xml:space="preserve"> SS1</t>
    </r>
  </si>
  <si>
    <t>A9D20610</t>
  </si>
  <si>
    <r>
      <t>Spēka sadalne</t>
    </r>
    <r>
      <rPr>
        <b/>
        <sz val="10"/>
        <rFont val="Arial"/>
        <family val="2"/>
        <charset val="204"/>
      </rPr>
      <t xml:space="preserve"> SS2</t>
    </r>
  </si>
  <si>
    <t>A9C22711</t>
  </si>
  <si>
    <r>
      <t>Spēka sadalne</t>
    </r>
    <r>
      <rPr>
        <b/>
        <sz val="10"/>
        <rFont val="Arial"/>
        <family val="2"/>
        <charset val="204"/>
      </rPr>
      <t xml:space="preserve"> SM</t>
    </r>
  </si>
  <si>
    <t>A9F3116</t>
  </si>
  <si>
    <t>R9S64340</t>
  </si>
  <si>
    <t>A9K02316</t>
  </si>
  <si>
    <t>A9K02306</t>
  </si>
  <si>
    <t>A9K02106</t>
  </si>
  <si>
    <t>A9C20843</t>
  </si>
  <si>
    <t>RM4TG 20</t>
  </si>
  <si>
    <t>STCAN</t>
  </si>
  <si>
    <t>Pārslēdzis 3st.220V, 5A, 1NO+1NC</t>
  </si>
  <si>
    <r>
      <t>Spēka sadalne</t>
    </r>
    <r>
      <rPr>
        <b/>
        <sz val="10"/>
        <rFont val="Arial"/>
        <family val="2"/>
        <charset val="204"/>
      </rPr>
      <t xml:space="preserve"> AS3</t>
    </r>
  </si>
  <si>
    <t>IC 100</t>
  </si>
  <si>
    <r>
      <t>Spēka sadalne</t>
    </r>
    <r>
      <rPr>
        <b/>
        <sz val="10"/>
        <rFont val="Arial"/>
        <family val="2"/>
        <charset val="204"/>
      </rPr>
      <t xml:space="preserve"> IAS</t>
    </r>
  </si>
  <si>
    <t>A9K02332</t>
  </si>
  <si>
    <t>SPĒKA ELEKTROIEKĀRTU UN APGAISMOJUMA TĪKLU KABEĻI</t>
  </si>
  <si>
    <t>Instalācijas kabelis ar vara dzīslam un PVC izolāciju</t>
  </si>
  <si>
    <t>NYY* 5x16,0</t>
  </si>
  <si>
    <t>NYY* 5x6,0</t>
  </si>
  <si>
    <t>NYY* 5x4,0</t>
  </si>
  <si>
    <t>NYY* 5x2,5</t>
  </si>
  <si>
    <t>NYY* 3x2,5</t>
  </si>
  <si>
    <t>NYY* 3x1,5</t>
  </si>
  <si>
    <t>Ugunsdrošs kabelis 5 dzislu ar šķērsgriezumu 6,0mm2</t>
  </si>
  <si>
    <t>NHXH-J-FE180/E60* 5x6,0</t>
  </si>
  <si>
    <t>Ugunsdrošs kabelis 5 dzislu ar šķērsgriezumu 4,0mm2</t>
  </si>
  <si>
    <t>NHXH-J-FE180/E60* 5x4,0</t>
  </si>
  <si>
    <t>Ugunsdrošs kabelis 3 dzislu ar šķērsgriezumu 4,0mm2</t>
  </si>
  <si>
    <t>NHXH-J-FE180/E60* 3x4,0</t>
  </si>
  <si>
    <t>Ugunsdrošs kabelis 3 dzislu ar šķērsgriezumu 2,5mm2</t>
  </si>
  <si>
    <t>NHXH-J-FE180/E60* 3x2,5</t>
  </si>
  <si>
    <t>Kabelis EUROSAFE</t>
  </si>
  <si>
    <t>2x0,8+0,8</t>
  </si>
  <si>
    <t>Vara dzīsla izolēta, dzelt.zal. krāsā</t>
  </si>
  <si>
    <t>PK 6 KORO</t>
  </si>
  <si>
    <t>GAISMAS ĶERMEŅI</t>
  </si>
  <si>
    <t>Gaismeklis ar lum. spuldzi 2x36W, IP54, virsbūvēts.</t>
  </si>
  <si>
    <t>Gaismeklis ar spuldzi 1x400W, IP55, virsbūvēts</t>
  </si>
  <si>
    <t>Gaismeklis ar luminiscentspuldzi 4x18W,reflektors FR-2, IP 20,  iebūvēts.</t>
  </si>
  <si>
    <t>Gaismeklis ar luminiscentspuldzi un iebūv. akkum. 1st. darbībai 1x8W, IP44, virsbūvēts.</t>
  </si>
  <si>
    <t>Sienas gaismeklis ar ekonomspuldzi 1x60W, IP65, virsbūvēts.</t>
  </si>
  <si>
    <t>Griestu gaismeklis ar ekonomspuldzi 1x60W, virsbūvēts.</t>
  </si>
  <si>
    <t>Prožektors 1x60W ar kustibas sensoru IP65</t>
  </si>
  <si>
    <t>Prožektors 1x282W, IP65</t>
  </si>
  <si>
    <t>INSTALĀCIJAS MATERIĀLI</t>
  </si>
  <si>
    <t>Rozete ar zemējuma kontaktu, 230V AC, 16A, IP44, virsapmētuma uzstādīšanai.</t>
  </si>
  <si>
    <t>Rozete ar zemējuma kontaktu, 230V AC, 16A, IP44, zemapmētuma uzstādīšanai.</t>
  </si>
  <si>
    <t>Rozete ar zemējuma kontaktu, 230V AC, 16A, IP20, zemapmētuma uzstādīšanai.</t>
  </si>
  <si>
    <t>Rozete ar zemējuma kontaktu, 400V AC, 16A, IP44, virsapmētuma uzstādīšanai.</t>
  </si>
  <si>
    <t>Vienpola slēdzis, 10A, 220V, IP44 virsapmētuma uzstādīšanai.</t>
  </si>
  <si>
    <t>Vienpola slēdzis, 10A, 220V, IP44 zemapmētuma uzstādīšanai.</t>
  </si>
  <si>
    <t>Dubultslēdzis, 10A, 220V, IP44, zemapmētuma uzstādīšanai.</t>
  </si>
  <si>
    <t>Vienpola slēdzis, 10A, 220V, IP20 zemapmētuma uzstādīšanai.</t>
  </si>
  <si>
    <t>Dubultslēdzis, 10A, 220V, IP20, zemapmētuma uzstādīšanai.</t>
  </si>
  <si>
    <t>Vadības poga aizbidņu vadībai zaļā krāsā</t>
  </si>
  <si>
    <t>MATERIĀLI</t>
  </si>
  <si>
    <t>Caurule PVC ∅32 gofrētā</t>
  </si>
  <si>
    <t>Caurule PVC ∅25 gofrētā</t>
  </si>
  <si>
    <t>Caurule PVC ∅20 gofrētā</t>
  </si>
  <si>
    <t>Caurule PVC ∅16 gofrētā</t>
  </si>
  <si>
    <t>KHZ-400</t>
  </si>
  <si>
    <t>KHZ-200</t>
  </si>
  <si>
    <t>Ugunsdrošā mastika (310 ml patrona )</t>
  </si>
  <si>
    <t>Ugunsdrošās putas (700 ml tūba)</t>
  </si>
  <si>
    <t>ZIBĒNS AIZSARDZĪBA UN ZEMĒJUMS</t>
  </si>
  <si>
    <t>Pakošanas cehs ar administratīvām un sadzīves telpām.</t>
  </si>
  <si>
    <t>Apaļdzelzs, cinkots ∅8mm</t>
  </si>
  <si>
    <t>Apaļdzelzs, cinkots ∅10mm</t>
  </si>
  <si>
    <t>Savienotājspaile (Rd 8-10/16)</t>
  </si>
  <si>
    <t>OBO BETERMANN</t>
  </si>
  <si>
    <t xml:space="preserve">Pārtraucamais savienojums </t>
  </si>
  <si>
    <t>Savienotājspaile lietus teknei ,</t>
  </si>
  <si>
    <t xml:space="preserve">Ieloces skava un pieslēguma spaile līdz plāksnes biezumam 10mm(Rd 8-10/16), </t>
  </si>
  <si>
    <t xml:space="preserve">Jumta vadu turētājs lēzeniem jumtiem, </t>
  </si>
  <si>
    <t xml:space="preserve">Turētājs </t>
  </si>
  <si>
    <t>Plakandzelzs 4x40 cink., m</t>
  </si>
  <si>
    <t>Elektrods zemējuma, cinkots tērauds ar iespēju pagarināt, d=20 mm, 1,5m</t>
  </si>
  <si>
    <t>Spaile zemējuma, universāla, cinkotam metālam, zemējuma elektroda d=20 mm  savienošanai ar stiepli d=8-10 mm vai plakandzelzi 4x40 mm;</t>
  </si>
  <si>
    <t>Evopipe</t>
  </si>
  <si>
    <t>PVC caurule d16...d25</t>
  </si>
  <si>
    <t>4x2x0.5 Cat5e</t>
  </si>
  <si>
    <t>Datu kabelis áréjais arzeleju (Trauksmes signálu translácija uz apsardzes telpu)</t>
  </si>
  <si>
    <t>MMJ 3x1.5</t>
  </si>
  <si>
    <t>Spéka kabelis</t>
  </si>
  <si>
    <t>CQR 6x0,22</t>
  </si>
  <si>
    <t>SL-350</t>
  </si>
  <si>
    <t>Sirena ar strobu</t>
  </si>
  <si>
    <t>LC-100PI</t>
  </si>
  <si>
    <t>NX1516</t>
  </si>
  <si>
    <t>NX003</t>
  </si>
  <si>
    <t>12V 7Ah</t>
  </si>
  <si>
    <t>Akumulators</t>
  </si>
  <si>
    <t>Transformators 40W</t>
  </si>
  <si>
    <t>NETWORX NX8</t>
  </si>
  <si>
    <t>Apsardzes signalizácijas panelis, NetworX</t>
  </si>
  <si>
    <t>Montázas materiali</t>
  </si>
  <si>
    <t>Starprelejs 24V, 2P,230V, 8A, AC</t>
  </si>
  <si>
    <t>PSC0013</t>
  </si>
  <si>
    <t>Ärejä sirena ar strobu</t>
  </si>
  <si>
    <t>AH-03127-S</t>
  </si>
  <si>
    <t>Trauksmes sirena</t>
  </si>
  <si>
    <t>PHSC-155-EPC</t>
  </si>
  <si>
    <t>Termokabelis PROTECTOWIRE, 68°C</t>
  </si>
  <si>
    <t>FP/3RD</t>
  </si>
  <si>
    <t>Rokas darblbas detektors</t>
  </si>
  <si>
    <t>Akumulätoru baterija</t>
  </si>
  <si>
    <t>Expander 8Z</t>
  </si>
  <si>
    <t>8 zonu paplasinätäjs</t>
  </si>
  <si>
    <t>SMARTLINE 020-4</t>
  </si>
  <si>
    <t>Ugunsdroslbas signalizäcijas panelis</t>
  </si>
  <si>
    <t>KT0 011</t>
  </si>
  <si>
    <t>230VAC</t>
  </si>
  <si>
    <t>700x500x250</t>
  </si>
  <si>
    <t>Montäzas materiäli</t>
  </si>
  <si>
    <t>Ugunsdrosäs putas (700 ml tüba)</t>
  </si>
  <si>
    <t>Ugunsdrosä mastika (310 ml patrona )</t>
  </si>
  <si>
    <t>Plastmasas caurule 020mm - 032mm</t>
  </si>
  <si>
    <t>(N)HXH FE180/E30 3x1,5</t>
  </si>
  <si>
    <t>El.barosanas kabelis</t>
  </si>
  <si>
    <t>JE-H(St)H-E30/E60</t>
  </si>
  <si>
    <t>J-Y(st)Y 2x0,8+0,8</t>
  </si>
  <si>
    <t>Signalizäcijas kabelis</t>
  </si>
  <si>
    <t>Trose d=3mm</t>
  </si>
  <si>
    <t>24V, 2P.230V, 8A, AC</t>
  </si>
  <si>
    <t>Rokas darblbas detektors, IP65</t>
  </si>
  <si>
    <t>Detektoru montäzas pamatne</t>
  </si>
  <si>
    <t>NB338-2</t>
  </si>
  <si>
    <t>Dümu detektors</t>
  </si>
  <si>
    <t>12V/12Ah</t>
  </si>
  <si>
    <t>Pakosanas cehs ar administratívam un sadzlves telpam.</t>
  </si>
  <si>
    <t>Kabelu kanäls 40x25</t>
  </si>
  <si>
    <t>Datu kabelis ärejais ar releju (Signälu transläcijai no UAS paneliem)</t>
  </si>
  <si>
    <t>BENTEL J408</t>
  </si>
  <si>
    <t>Apsardzes eka</t>
  </si>
  <si>
    <t>Nr.1-13</t>
  </si>
  <si>
    <t>Apsardzes telpa</t>
  </si>
  <si>
    <t>Lokālā tāme Nr.1-13</t>
  </si>
  <si>
    <t xml:space="preserve">Sadalne  kabeļu komutācijai ar 2 drošinātājslēdžiem NH2                                                                                                                         </t>
  </si>
  <si>
    <t>Uzskaites sadalnes un kabeļsadalnes pamatne  kabeļu komutācijas modulim</t>
  </si>
  <si>
    <t>Naži NH-2 gabarita</t>
  </si>
  <si>
    <t>Drošinātājs, NH00, gL/gG, 63 A</t>
  </si>
  <si>
    <t>Kabelis 1kV, četrdzīslu 4x240 Al</t>
  </si>
  <si>
    <t>AXPK 1-4x240</t>
  </si>
  <si>
    <t>Kabelis 1kV, četrdzīslu 4x35 Al</t>
  </si>
  <si>
    <t>AXPK 1-4x35</t>
  </si>
  <si>
    <t>Aizsarglenta kabelim, plastmasas</t>
  </si>
  <si>
    <t>Kabeļu aizsardzības caurule d=110, zemē guldāmā, gofrētā, cietā 750N</t>
  </si>
  <si>
    <t>Spaile zemējuma, universāla, cinkotam metālam, zemējuma elektroda d=20 mm savienošanai ar stiepli d=8-10 mm vai plakandzelzi 4x40 mm</t>
  </si>
  <si>
    <t>Keramzits</t>
  </si>
  <si>
    <t>Kabelis 1kV, četrdzīslu 4x16 Al</t>
  </si>
  <si>
    <t>AXPK 1-4x16</t>
  </si>
  <si>
    <t>Kabelis 1kV, četrdzīslu 4x4 Cu</t>
  </si>
  <si>
    <t>CYKY 4x4</t>
  </si>
  <si>
    <t>Kabelis 1kV, četrdzīslu 4x4 Cu ar ekrānu</t>
  </si>
  <si>
    <t>NYCY 4x4/4</t>
  </si>
  <si>
    <t>Stabs ielas, konisks 10.5m ar flanci cinkots(Ø60, Ø177)</t>
  </si>
  <si>
    <t>Europoles</t>
  </si>
  <si>
    <t>Betona pamatne</t>
  </si>
  <si>
    <t xml:space="preserve">Blīvgredzens </t>
  </si>
  <si>
    <t>Traversa 4x prožektoriem T-veida</t>
  </si>
  <si>
    <t>Kabelis 1kV, trīsdzīslu 3x2,5Cu</t>
  </si>
  <si>
    <t>NYY-J-3x2,5</t>
  </si>
  <si>
    <t>Caurule PVC ∅50 gofrētā guldīšanai zemē</t>
  </si>
  <si>
    <t>Ielas stabs 8,6m (8m virs zemes) cinkots, konisks</t>
  </si>
  <si>
    <t>Konsole L-veida 1.5/1/15 (Hv/V/leņķis) cinkota</t>
  </si>
  <si>
    <t>Gaismeklis</t>
  </si>
  <si>
    <t>Caurule PVC ∅75 gofrētā guldīšanai zemē</t>
  </si>
  <si>
    <t>"Jauda" KKM-2-22-001</t>
  </si>
  <si>
    <t>"Jauda" PKM-2</t>
  </si>
  <si>
    <t>Europoles CP10600-60</t>
  </si>
  <si>
    <t>Europoles P-2</t>
  </si>
  <si>
    <t>Europoles GB-RG</t>
  </si>
  <si>
    <t>"Glamox" FLS 250 WB FC2</t>
  </si>
  <si>
    <t>Schneider electric A9F3110</t>
  </si>
  <si>
    <t>Europoles CP8600-60</t>
  </si>
  <si>
    <t>"PHILIPS" SGS102</t>
  </si>
  <si>
    <t>Schneider electric A9F3106</t>
  </si>
  <si>
    <t>Sadzīves kanalizācijas caurule De160, PP, SN8, EN13476</t>
  </si>
  <si>
    <t>Sadzīves (pašteces notekūdeņiem) PEH kanalizācijas aka  ar iestrādātiem gumijas blīvgredzeniem,  ar rāmi un ar kaļama ķeta vāku 25t (klass C250) ∅600 (stacionāra tipa), ar iebūvejamiem kapnēm</t>
  </si>
  <si>
    <t>K1-1, H=1,22m, ∅800</t>
  </si>
  <si>
    <t>BŪVDARBU APJOMS TĪKLAM (K1)</t>
  </si>
  <si>
    <t>Tranšējas rakšana un aizbēršana</t>
  </si>
  <si>
    <t>Vidēji rupja smilts cauruļvada "spilveņa" veidošanai</t>
  </si>
  <si>
    <t>Gruntsūdens līmeņa pazemināšana pēc vajadzības</t>
  </si>
  <si>
    <t>LIETUS NOTEKŪDEŅU KANALIZĀCIJAS TĪKLS (K2)</t>
  </si>
  <si>
    <t>Lietus notekūdeņu (pašteces notekūdeņiem) PEH kanalizācijas aka  ar iestrādātiem gumijas blīvgredzeniem,  ar rāmi un ar kaļama ķeta vāku 25t (klass C250) ∅600 (stacionāra tipa), ar iebūvejamiem kapnēm</t>
  </si>
  <si>
    <t>Lietus notekūdeņu (pašteces notekūdeņiem) PEH kanalizācijas aka  ar iestrādātiem gumijas blīvgredzeniem,  ar rāmi un ar kaļama ķeta vāku 40t (klass D400) ∅600 (peldoša tipa), ar iebūvejamiem kapnēm</t>
  </si>
  <si>
    <t>H=2,73, K2-20</t>
  </si>
  <si>
    <t>H=3,26m, K2-52</t>
  </si>
  <si>
    <t xml:space="preserve">Iegremdējamais notekūdeņu sūknis q=26,9 l/s, H=7m, 3,7kW, 3x380-415V, I/nom 8A, IP68, SE1.80.80.30.4.50D.B (izstrādājuma Nr.:96047565),  ar S-tube pašattīrošo darba ratu ar šķiedru plēšanas konstrukciju, ar ūdens necaurlaidīgu barošanas spraudni ar vītnes savienojumu pie sūkņa korpusa. Motors ir ūdensizturīgs, pilnība ietverts korpusā un aprikots ar 10m energoapgādes kabeli. Motors ir aprikots ar iebūvētu pārkaršanas aizsardzību. Motoras eļļas kamera ar netoksisku eļļu,  ar 20m energoapgādes kabeli. </t>
  </si>
  <si>
    <t>Sadales skapis vadības/aizsardzības iekārta LCD108, 3x400V  + metāla korpuss ar apsildi, kopmozīta sadalei, sūkņu automatika,+ atbalstpamatne skapim saskaņota ar Latvenergo</t>
  </si>
  <si>
    <t xml:space="preserve">+ ūdensdrošie jaudas kabeļu savienojumi 2 gab.kari </t>
  </si>
  <si>
    <t>+ pludiņslēdzis 2 gab., SLC10E (prod.Nr. 96061654)</t>
  </si>
  <si>
    <t>+hidrostatiskais devējs, 0-5m, 10m kabelis (prod.Nr.98991645)</t>
  </si>
  <si>
    <t xml:space="preserve">  + 2gab. MP204 motora aizsardzība</t>
  </si>
  <si>
    <t>Autopēda DN100 cpl</t>
  </si>
  <si>
    <t>Spiediena kanalizācijas caurule De225, PN10, SDR17, EN12201</t>
  </si>
  <si>
    <t>Ķeta T-gabals 200/200 ar atloķiem un savietotājelementiem</t>
  </si>
  <si>
    <t>sp.dz.akās</t>
  </si>
  <si>
    <t>Universālais atloku adapteris DN200/218-235</t>
  </si>
  <si>
    <t xml:space="preserve">Dz.betona kanalizācijas aka (atbilstoši LVS EN 1917:2003 ) ar iestrādātiem gumijas blīvgredzeniem. Ar akas pilnu hidroizolāciju, ar akas pārsegumu (D400), ar rāmi un ar kaļama ķeta vāku 40t (klass D400) ∅600 (stacionāra tipa), atbilstoši LVS 124, kapnes iebūvējamas. </t>
  </si>
  <si>
    <t>H=1,67m , K2-22, K2-53</t>
  </si>
  <si>
    <t>EM PEH dubultuzmava De225, PE100, PN16</t>
  </si>
  <si>
    <t>ACO self punktveida gūlija ar režģi un iebūvēto grozu</t>
  </si>
  <si>
    <t>BŪVDARBU APJOMS TĪKLAM (K2)</t>
  </si>
  <si>
    <t>ŪDENSAPGĀDES TĪKLS (Ū1)</t>
  </si>
  <si>
    <t>Ūdensapgādes caurule De110x6,6, PE, PN10, SDR17, PE100, EN12201</t>
  </si>
  <si>
    <t>Ūdensapgādes caurule De63x3,8, PE, PN10, SDR17, PE100, EN12201</t>
  </si>
  <si>
    <t>Adapteris DN100 ar atloku</t>
  </si>
  <si>
    <t>Vienvirziena vārsts DN100 ar atloķiem</t>
  </si>
  <si>
    <t>Ķīļveida aizbīdnis DN100 ar atloķiem</t>
  </si>
  <si>
    <t>p.Ū1-2</t>
  </si>
  <si>
    <t>Īscaurule DN100 ar atlokiem L=200mm</t>
  </si>
  <si>
    <t>Īscaurule DN100 ar atlokiem L=800mm</t>
  </si>
  <si>
    <t>Redukcija ar atlokiem DN100/50</t>
  </si>
  <si>
    <t>Keta T-gabals DN50x50 ar atlokiem</t>
  </si>
  <si>
    <t>Ugunsdzēsības šļuteņu pievienojums</t>
  </si>
  <si>
    <t>Lodveida ventilis DN25 iztukšošanai</t>
  </si>
  <si>
    <t>Dz.betona aka , (atbilstoši LVS NE 1917:2003) ar iestrādātiem gumijas blīvgredzeniem. Ar akas pilnu hidroizolāciju, ar akas pārsegumu (B250), ar rāmi un kaļama ķeta vāku 25t, atbilstoši LVS 124, iebūvējamas kāpnes. Lukas diam.saskaņā ar ŪKT rasējimiem.</t>
  </si>
  <si>
    <t>Pašregulējosais sildkabelis DPH-10, L=4,0m,  ar vadības bloku</t>
  </si>
  <si>
    <t>uz ievada</t>
  </si>
  <si>
    <t>Frekvences pārveidotājs</t>
  </si>
  <si>
    <t>BŪVDARBU APJOMS TĪKLAM (Ū1)</t>
  </si>
  <si>
    <t>Krustošanās ar esošiem un projektējamiem tīkliem</t>
  </si>
  <si>
    <t>UGUNSDZĒSĪBAS ŪDENSAPGĀDES TĪKLS (Ū2)</t>
  </si>
  <si>
    <t>Ūdensapgādes caurule De315, PE, PN10, SDR17, PE100, EN12201</t>
  </si>
  <si>
    <t>Adapters DN315 ar atlokiem</t>
  </si>
  <si>
    <t>Ķīlveida aizbīdnis DN300, ar atloķiem</t>
  </si>
  <si>
    <t>Pagarinatājkāts aizbīdniem</t>
  </si>
  <si>
    <t>Peldošā tipa aizbīdņu kape</t>
  </si>
  <si>
    <t xml:space="preserve">Dz.betona aka , (atbilstoši LVS NE 1917:2003) ar iestrādātiem gumijas blīvgredzeniem. Ar akas pilnu hidroizolāciju, ar akas pārsegumu (D400), ar rāmi un kaļama ķeta vāku 40t, atbilstoši LVS 124, iebūvējamas kāpnes. </t>
  </si>
  <si>
    <t>Ūdensapgādes caurule De75X4,5, PE, PN10, SDR17, PE100, EN12201</t>
  </si>
  <si>
    <t>Ugunsdzēsības sūkņu stacijas specifikāciju skat. ŪKT-14</t>
  </si>
  <si>
    <t>Ugunsdzēsības sūkņu stacijas enkurošanas specifikāciju skat. ŪKT-13</t>
  </si>
  <si>
    <t>Ugunsdzēsōbas šļūtenes DN50, kopgarums saspraugtā veidā sastāda mim.180m</t>
  </si>
  <si>
    <t>BŪVDARBU APJOMS TĪKLAM (Ū2)</t>
  </si>
  <si>
    <r>
      <t xml:space="preserve">H=3,56m </t>
    </r>
    <r>
      <rPr>
        <sz val="9"/>
        <color theme="1"/>
        <rFont val="Arial"/>
        <family val="2"/>
        <charset val="204"/>
      </rPr>
      <t>Ø1500 p.Ū2-8, p.Ū2-9</t>
    </r>
  </si>
  <si>
    <r>
      <t xml:space="preserve">H=4,25m </t>
    </r>
    <r>
      <rPr>
        <sz val="9"/>
        <color theme="1"/>
        <rFont val="Arial"/>
        <family val="2"/>
        <charset val="204"/>
      </rPr>
      <t>Ø1500 p.Ū2-6, p.Ū2-7</t>
    </r>
  </si>
  <si>
    <r>
      <t xml:space="preserve">H=4,80m </t>
    </r>
    <r>
      <rPr>
        <sz val="9"/>
        <color theme="1"/>
        <rFont val="Arial"/>
        <family val="2"/>
        <charset val="204"/>
      </rPr>
      <t>Ø2000 p.Ū2-1</t>
    </r>
  </si>
  <si>
    <r>
      <t>Lietusūdeņu pašteces kanalizācijas caurule De</t>
    </r>
    <r>
      <rPr>
        <sz val="9"/>
        <color theme="1"/>
        <rFont val="Arial"/>
        <family val="2"/>
        <charset val="204"/>
      </rPr>
      <t>160, PP, EN13476</t>
    </r>
  </si>
  <si>
    <r>
      <t>Lietusūdeņu pašteces kanalizācijas caurule De20</t>
    </r>
    <r>
      <rPr>
        <sz val="9"/>
        <color theme="1"/>
        <rFont val="Arial"/>
        <family val="2"/>
        <charset val="204"/>
      </rPr>
      <t>0, PP, EN13477</t>
    </r>
    <r>
      <rPr>
        <sz val="11"/>
        <color theme="1"/>
        <rFont val="Calibri"/>
        <family val="2"/>
        <charset val="186"/>
        <scheme val="minor"/>
      </rPr>
      <t/>
    </r>
  </si>
  <si>
    <r>
      <t>Lietusūdeņu pašteces kanalizācijas caurule De25</t>
    </r>
    <r>
      <rPr>
        <sz val="9"/>
        <color theme="1"/>
        <rFont val="Arial"/>
        <family val="2"/>
        <charset val="204"/>
      </rPr>
      <t>0, PP, EN13478</t>
    </r>
    <r>
      <rPr>
        <sz val="11"/>
        <color theme="1"/>
        <rFont val="Calibri"/>
        <family val="2"/>
        <charset val="186"/>
        <scheme val="minor"/>
      </rPr>
      <t/>
    </r>
  </si>
  <si>
    <r>
      <t>Lietusūdeņu pašteces kanalizācijas caurule De315</t>
    </r>
    <r>
      <rPr>
        <sz val="9"/>
        <color theme="1"/>
        <rFont val="Arial"/>
        <family val="2"/>
        <charset val="204"/>
      </rPr>
      <t>, PP, EN13479</t>
    </r>
    <r>
      <rPr>
        <sz val="11"/>
        <color theme="1"/>
        <rFont val="Calibri"/>
        <family val="2"/>
        <charset val="186"/>
        <scheme val="minor"/>
      </rPr>
      <t/>
    </r>
  </si>
  <si>
    <r>
      <t xml:space="preserve">H=1,52,  </t>
    </r>
    <r>
      <rPr>
        <sz val="9"/>
        <color theme="1"/>
        <rFont val="Arial"/>
        <family val="2"/>
        <charset val="204"/>
      </rPr>
      <t>Ø800, K2-1</t>
    </r>
  </si>
  <si>
    <r>
      <t xml:space="preserve">H=1,25,  </t>
    </r>
    <r>
      <rPr>
        <sz val="9"/>
        <color theme="1"/>
        <rFont val="Arial"/>
        <family val="2"/>
        <charset val="204"/>
      </rPr>
      <t>Ø600, K2-2, K2-13, K2-14, K2-27, K2-28, K2-39, K2-40, K2-51</t>
    </r>
  </si>
  <si>
    <r>
      <t xml:space="preserve">H=1,29,  </t>
    </r>
    <r>
      <rPr>
        <sz val="9"/>
        <color theme="1"/>
        <rFont val="Arial"/>
        <family val="2"/>
        <charset val="204"/>
      </rPr>
      <t>Ø600, K2-3, K2-7,K2-12,K2-15,K2-26,K2-29,K2-38,K2-41,K2-50</t>
    </r>
  </si>
  <si>
    <r>
      <t xml:space="preserve">H=1,33,  </t>
    </r>
    <r>
      <rPr>
        <sz val="9"/>
        <color theme="1"/>
        <rFont val="Arial"/>
        <family val="2"/>
        <charset val="204"/>
      </rPr>
      <t>Ø600, K2-4, K2-11, K2-16, K2-25, K2-37, K2-42, K2-49</t>
    </r>
  </si>
  <si>
    <r>
      <t xml:space="preserve">H=1,37,  </t>
    </r>
    <r>
      <rPr>
        <sz val="9"/>
        <color theme="1"/>
        <rFont val="Arial"/>
        <family val="2"/>
        <charset val="204"/>
      </rPr>
      <t>Ø600, K2-5, K2-10, K2-17, K2-22, K2-36, K2-43, K2-48</t>
    </r>
  </si>
  <si>
    <r>
      <t xml:space="preserve">H=1,39,  </t>
    </r>
    <r>
      <rPr>
        <sz val="9"/>
        <color theme="1"/>
        <rFont val="Arial"/>
        <family val="2"/>
        <charset val="204"/>
      </rPr>
      <t>Ø600, K2-46</t>
    </r>
  </si>
  <si>
    <r>
      <t xml:space="preserve">H=1,41,  </t>
    </r>
    <r>
      <rPr>
        <sz val="9"/>
        <color theme="1"/>
        <rFont val="Arial"/>
        <family val="2"/>
        <charset val="204"/>
      </rPr>
      <t>Ø600, K2-6, K2-9, K2-18, K2-35, K2-44, K2-47</t>
    </r>
  </si>
  <si>
    <r>
      <t xml:space="preserve">H=1,47,  </t>
    </r>
    <r>
      <rPr>
        <sz val="9"/>
        <color theme="1"/>
        <rFont val="Arial"/>
        <family val="2"/>
        <charset val="204"/>
      </rPr>
      <t>Ø600, K2-45</t>
    </r>
  </si>
  <si>
    <r>
      <t xml:space="preserve">H=1,57,  </t>
    </r>
    <r>
      <rPr>
        <sz val="9"/>
        <color theme="1"/>
        <rFont val="Arial"/>
        <family val="2"/>
        <charset val="204"/>
      </rPr>
      <t>Ø600, K2-8</t>
    </r>
  </si>
  <si>
    <r>
      <t xml:space="preserve">H=1,58,  </t>
    </r>
    <r>
      <rPr>
        <sz val="9"/>
        <color theme="1"/>
        <rFont val="Arial"/>
        <family val="2"/>
        <charset val="204"/>
      </rPr>
      <t>Ø600, K2-34</t>
    </r>
  </si>
  <si>
    <r>
      <t xml:space="preserve">H=1,68,  </t>
    </r>
    <r>
      <rPr>
        <sz val="9"/>
        <color theme="1"/>
        <rFont val="Arial"/>
        <family val="2"/>
        <charset val="204"/>
      </rPr>
      <t>Ø600, K2-19</t>
    </r>
  </si>
  <si>
    <r>
      <t xml:space="preserve">H=1,30,  </t>
    </r>
    <r>
      <rPr>
        <sz val="9"/>
        <color theme="1"/>
        <rFont val="Arial"/>
        <family val="2"/>
        <charset val="204"/>
      </rPr>
      <t>Ø600, K2-24</t>
    </r>
  </si>
  <si>
    <r>
      <t xml:space="preserve">H=1,34,  </t>
    </r>
    <r>
      <rPr>
        <sz val="9"/>
        <color theme="1"/>
        <rFont val="Arial"/>
        <family val="2"/>
        <charset val="204"/>
      </rPr>
      <t>Ø600, K2-23</t>
    </r>
  </si>
  <si>
    <r>
      <t xml:space="preserve">H=1,28,  </t>
    </r>
    <r>
      <rPr>
        <sz val="9"/>
        <color theme="1"/>
        <rFont val="Arial"/>
        <family val="2"/>
        <charset val="204"/>
      </rPr>
      <t>Ø600, K2-30</t>
    </r>
  </si>
  <si>
    <r>
      <t xml:space="preserve">H=1,32,  </t>
    </r>
    <r>
      <rPr>
        <sz val="9"/>
        <color theme="1"/>
        <rFont val="Arial"/>
        <family val="2"/>
        <charset val="204"/>
      </rPr>
      <t>Ø600, K2-31</t>
    </r>
    <r>
      <rPr>
        <sz val="11"/>
        <color theme="1"/>
        <rFont val="Calibri"/>
        <family val="2"/>
        <charset val="186"/>
        <scheme val="minor"/>
      </rPr>
      <t/>
    </r>
  </si>
  <si>
    <r>
      <t xml:space="preserve">H=1,36,  </t>
    </r>
    <r>
      <rPr>
        <sz val="9"/>
        <color theme="1"/>
        <rFont val="Arial"/>
        <family val="2"/>
        <charset val="204"/>
      </rPr>
      <t>Ø600, K2-32</t>
    </r>
    <r>
      <rPr>
        <sz val="11"/>
        <color theme="1"/>
        <rFont val="Calibri"/>
        <family val="2"/>
        <charset val="186"/>
        <scheme val="minor"/>
      </rPr>
      <t/>
    </r>
  </si>
  <si>
    <r>
      <t xml:space="preserve">H=1,57,  </t>
    </r>
    <r>
      <rPr>
        <sz val="9"/>
        <color theme="1"/>
        <rFont val="Arial"/>
        <family val="2"/>
        <charset val="204"/>
      </rPr>
      <t>Ø600, K2-33</t>
    </r>
    <r>
      <rPr>
        <sz val="11"/>
        <color theme="1"/>
        <rFont val="Calibri"/>
        <family val="2"/>
        <charset val="186"/>
        <scheme val="minor"/>
      </rPr>
      <t/>
    </r>
  </si>
  <si>
    <r>
      <t xml:space="preserve">Rūpnieciski izgatavota pastiprinātas stiklšķiedras cilindriska sūknētavas kanalizācijas aka </t>
    </r>
    <r>
      <rPr>
        <sz val="9"/>
        <color theme="1"/>
        <rFont val="Arial"/>
        <family val="2"/>
        <charset val="204"/>
      </rPr>
      <t>Ø1500, H=2,70m, ar iestrādātiem gumijas blīvgredzeniem, ar rāmi un kaļama ķeta vāku 40t (klass D400) Ø600 (standarta tipa). Kompleskas stacija ie iekļauts: Aisi 304 spiedvada sistēma (iekļ 2xAVK aizbīdņi DN100 , 2xAVK pretvārsti DN100 un 1/2" atgaisošanas vārsts; Aisi 304 izplūdes caurule DN225 ; GRP šķērsstienis priekš vaduļu turētājiem; karsti cinkotas vadulas, vaduļu turētāji; nerusējošā tērauda Aisi 316 ķēdes sūkņu izcelšanai (katram sūknim); sūkņi ir uzstādāmi uz autopēdām ar vadulām un to turētājiem; PVC ieplūdes caurule ar GRP atloku; Nažveida aizbīdnis ar kāta pagarinājumu visiem ievadiem un atsietēj plāksni; Hidrostatiskā līmeņa devēja uzstādīšanas caurule; 2 plūdiņa kronšteins; pārplūdes signalizācija; Aisi 304 trepes un platforma; Aisi 304 atsetēj plāksne.</t>
    </r>
  </si>
  <si>
    <r>
      <t>EM PEH līkums uz 90</t>
    </r>
    <r>
      <rPr>
        <sz val="9"/>
        <color theme="1"/>
        <rFont val="Arial"/>
        <family val="2"/>
        <charset val="204"/>
      </rPr>
      <t>⁰ De225, PE100, SDR17</t>
    </r>
  </si>
  <si>
    <r>
      <t xml:space="preserve">Ūdensvada EM Redukcija </t>
    </r>
    <r>
      <rPr>
        <sz val="9"/>
        <color theme="1"/>
        <rFont val="Arial"/>
        <family val="2"/>
        <charset val="204"/>
      </rPr>
      <t>De110/63, PN16</t>
    </r>
  </si>
  <si>
    <r>
      <t>Ūdensvada EM T-gabals uz 90</t>
    </r>
    <r>
      <rPr>
        <sz val="9"/>
        <color theme="1"/>
        <rFont val="Arial"/>
        <family val="2"/>
        <charset val="204"/>
      </rPr>
      <t>⁰ De110/110, PN16</t>
    </r>
  </si>
  <si>
    <r>
      <t>Ūdensvada EM līkums uz 90</t>
    </r>
    <r>
      <rPr>
        <sz val="9"/>
        <color theme="1"/>
        <rFont val="Arial"/>
        <family val="2"/>
        <charset val="204"/>
      </rPr>
      <t>⁰ De110, PN16</t>
    </r>
  </si>
  <si>
    <r>
      <t>Ūdensvada EM savienojošās uzmavas</t>
    </r>
    <r>
      <rPr>
        <sz val="9"/>
        <color theme="1"/>
        <rFont val="Arial"/>
        <family val="2"/>
        <charset val="204"/>
      </rPr>
      <t xml:space="preserve"> De110, PN16</t>
    </r>
  </si>
  <si>
    <r>
      <t>Ķeta līkums uz 90</t>
    </r>
    <r>
      <rPr>
        <sz val="9"/>
        <color theme="1"/>
        <rFont val="Arial"/>
        <family val="2"/>
        <charset val="204"/>
      </rPr>
      <t>⁰ DN100</t>
    </r>
  </si>
  <si>
    <r>
      <t>Ķeta līkums uz 90</t>
    </r>
    <r>
      <rPr>
        <sz val="9"/>
        <color theme="1"/>
        <rFont val="Arial"/>
        <family val="2"/>
        <charset val="204"/>
      </rPr>
      <t>⁰ DN50</t>
    </r>
  </si>
  <si>
    <r>
      <t xml:space="preserve">H= 2,29m, </t>
    </r>
    <r>
      <rPr>
        <sz val="9"/>
        <color theme="1"/>
        <rFont val="Arial"/>
        <family val="2"/>
        <charset val="204"/>
      </rPr>
      <t xml:space="preserve">Ø1500, </t>
    </r>
    <r>
      <rPr>
        <sz val="9"/>
        <rFont val="Arial"/>
        <family val="2"/>
        <charset val="204"/>
      </rPr>
      <t xml:space="preserve"> p.Ū1-2, skat.ŪKT-15</t>
    </r>
  </si>
  <si>
    <r>
      <t>Ūdensvada EM līkums uz 90</t>
    </r>
    <r>
      <rPr>
        <sz val="9"/>
        <color theme="1"/>
        <rFont val="Arial"/>
        <family val="2"/>
        <charset val="204"/>
      </rPr>
      <t>⁰ De75, PN16</t>
    </r>
  </si>
  <si>
    <r>
      <t>Ugunsdzēsības iegremdējamas ūdens sūknis q=3,0 l/s, H=46m, vertikālais, 2,2 kW, 3x380-400 V, I</t>
    </r>
    <r>
      <rPr>
        <vertAlign val="subscript"/>
        <sz val="9"/>
        <color theme="1"/>
        <rFont val="Arial"/>
        <family val="2"/>
        <charset val="204"/>
      </rPr>
      <t>nomin.</t>
    </r>
    <r>
      <rPr>
        <sz val="9"/>
        <rFont val="Arial"/>
        <family val="2"/>
        <charset val="204"/>
      </rPr>
      <t>=5,70A, EN 1.4301, AISI 304, Analogs Grundfos SP11-11</t>
    </r>
  </si>
  <si>
    <t>Trases uzmērīšana un nospraušana, atbalsta sistēmas ierīkošana</t>
  </si>
  <si>
    <t>DEMONTĀŽAS DARBI</t>
  </si>
  <si>
    <t>Esošo vārtu demontāža</t>
  </si>
  <si>
    <t>Esošā asfaltbetona frēzēšana  (h=10 cm) un aizvešana uz atbērtni, h=10 cm</t>
  </si>
  <si>
    <t>Esošo krūmu ciršana</t>
  </si>
  <si>
    <t>Esošā meža ciršana</t>
  </si>
  <si>
    <t>Esošo koku ciršana un aizvešana uz atbērtni (no tiem 11 gb.-augļu koki)</t>
  </si>
  <si>
    <t>ZEMES DARBI</t>
  </si>
  <si>
    <t xml:space="preserve">Uzbēruma izbūve </t>
  </si>
  <si>
    <t>SEGUMU IZBŪVE</t>
  </si>
  <si>
    <t>Salizturīgais slānis, h= 60 cm</t>
  </si>
  <si>
    <t>Valčbetona (RCC) CC35 seguma kārta, h=14 cm</t>
  </si>
  <si>
    <t>Šķembu maisījums, fr. 0÷45, h=20 cm</t>
  </si>
  <si>
    <t>Nomaļu uzpildīšana ar minerālmateriālu maisījumu 0/32s 14cm biezumā, profilēšana un blīvēšana</t>
  </si>
  <si>
    <t>IETVES, GĀJĒJU CELIŅU UN APMALES AP ĒKU IZBŪVE</t>
  </si>
  <si>
    <t>Bruģakmens seguma ietve:</t>
  </si>
  <si>
    <t>Šķembu maisījums, fr. 0÷45, h=15 cm</t>
  </si>
  <si>
    <t>Salizturīgais slānis, h= 30 cm</t>
  </si>
  <si>
    <t>Grants seguma celiņš:</t>
  </si>
  <si>
    <t>Betona seguma apmale ap ēku:</t>
  </si>
  <si>
    <t>Betona marka C20/25 xc4+xf1</t>
  </si>
  <si>
    <t>Šķembu maisījums, fr. 16-32mm, h=12 cm</t>
  </si>
  <si>
    <t>KONTRUKCIJAS</t>
  </si>
  <si>
    <t>Caurtekas:</t>
  </si>
  <si>
    <t>Caurteka, diam.500</t>
  </si>
  <si>
    <t>Esošās caurtekas pagarināšana, diam.200 mm</t>
  </si>
  <si>
    <t xml:space="preserve">Esošās caurtekas pagarināšana, diam. 800mm (pieņemts izmērs) </t>
  </si>
  <si>
    <t>Aizsargcaurules:</t>
  </si>
  <si>
    <t>Ugunsdzēsības dīķi:</t>
  </si>
  <si>
    <t>Laukakmens, diam. 40-65 cm</t>
  </si>
  <si>
    <t>Brauktuves apmales izbūve uz betona pamata un šķembu_x000D_ spilvena ierīkošana, marka BA.100.30.15, h=12 cm</t>
  </si>
  <si>
    <t>Brauktuves apmales izbūve uz betona pamata _x000D_un šķembu spilvena ierīkošana, marka BA.100.22.15, h=2 cm</t>
  </si>
  <si>
    <t>Brauktuves apmales izbūve uz betona pamata _x000D_un šķembu spilvena ierīkošana, marka BA.100.22.15, h=0 cm</t>
  </si>
  <si>
    <t>Brauktuves apmales izbūve (labā, kreisā) uz betona pamata _x000D_un šķembu spilvena ierīkošana, marka BA.100.22.15</t>
  </si>
  <si>
    <t>Auglīgā augsne, kas apsēta ar zāliena sēklām, h=10 cm</t>
  </si>
  <si>
    <t>Nogāžu 1:1.5 nostiprināšana, iesējot zālienu sēklas, h=10 cm</t>
  </si>
  <si>
    <t>Nogāžu 1:1 nostiprināšana ar kokosa preterozijas paklāju un iesējot zālienu sēklas, h=10 cm</t>
  </si>
  <si>
    <t>Vītais stiepļu žogs, tips 'Resitor', krāsa zaļa RAL 605, h=1.5m</t>
  </si>
  <si>
    <t>Metāla stabi, h=2.2m, ar soli 3m (nav atsevišķi izdalīti stūra stabi)</t>
  </si>
  <si>
    <t xml:space="preserve">             Brauktuves apzīmējumu ieklāšana (krāsa)</t>
  </si>
  <si>
    <t>Horizontālais apzīmējums, plat.0.1m, Nr. 920</t>
  </si>
  <si>
    <t>Trotuāru apmales izbūve uz betona pamata un šķembu _x000D_spilvena ierīkošana, marka BA.100.20.8</t>
  </si>
  <si>
    <t>2-2. Cokola sija PS-1* (13,2 t.m.)</t>
  </si>
  <si>
    <t>1-4. Dzelzsbetona lentveida pamats LP-1 (49,3 t.m.)</t>
  </si>
  <si>
    <t>1-2. Dzelzsbetona pamati SP-2 (8 gab.)</t>
  </si>
  <si>
    <t>3-1. Nesošā grīda G-1 (2404,0 m².)</t>
  </si>
  <si>
    <t>ø20x2.2 Wavin</t>
  </si>
  <si>
    <t>ø100</t>
  </si>
  <si>
    <t>ø125</t>
  </si>
  <si>
    <t>ø160</t>
  </si>
  <si>
    <t>ø200</t>
  </si>
  <si>
    <t>ø250</t>
  </si>
  <si>
    <t>ø400</t>
  </si>
  <si>
    <t>ø100-60</t>
  </si>
  <si>
    <t>ø100-90</t>
  </si>
  <si>
    <t>ø125-90</t>
  </si>
  <si>
    <t>ø160-90</t>
  </si>
  <si>
    <t>ø250-90</t>
  </si>
  <si>
    <t>ø160/ø100</t>
  </si>
  <si>
    <t>ø160/ø125</t>
  </si>
  <si>
    <t>ø200/ø100</t>
  </si>
  <si>
    <t>ø250/ø100</t>
  </si>
  <si>
    <t>ø250/ø125</t>
  </si>
  <si>
    <t>ø400/ø100</t>
  </si>
  <si>
    <t>ø400/ø250</t>
  </si>
  <si>
    <t>ø125/ 300x100</t>
  </si>
  <si>
    <t>ø160/ 300x100</t>
  </si>
  <si>
    <t>ø200/ 300x100</t>
  </si>
  <si>
    <t>ø200/ø160</t>
  </si>
  <si>
    <t>ø100/ 300x100</t>
  </si>
  <si>
    <t>ø400/ 700x210</t>
  </si>
  <si>
    <t>ø400/ 700x350</t>
  </si>
  <si>
    <t>ø250/ø160</t>
  </si>
  <si>
    <t>ø250/ø200</t>
  </si>
  <si>
    <t>ø250/ø250</t>
  </si>
  <si>
    <t>ø125/ø100</t>
  </si>
  <si>
    <t>Poliuretāna caurule ø200</t>
  </si>
  <si>
    <t>ø250-30</t>
  </si>
  <si>
    <t>Komfovent AKT-160</t>
  </si>
  <si>
    <t>Komfovent AKT-200</t>
  </si>
  <si>
    <t>Komfovent DVS-100</t>
  </si>
  <si>
    <t>Komfovent DVS-125</t>
  </si>
  <si>
    <t>Komfovent JR3/2 300x100</t>
  </si>
  <si>
    <t>Komfovent JR3/2-F-300x100</t>
  </si>
  <si>
    <t>Komfovent DVS-P-100</t>
  </si>
  <si>
    <t>Komfovent DVS-P-160</t>
  </si>
  <si>
    <t>Komfovent AGRJ-100</t>
  </si>
  <si>
    <t>Komfovent AGRJ-125</t>
  </si>
  <si>
    <t>Komfovent AGRJ-160</t>
  </si>
  <si>
    <t>Komfovent AGRJ-200</t>
  </si>
  <si>
    <t>Komfovent AGRJ-250</t>
  </si>
  <si>
    <t>Komfovent UVA60-250-70</t>
  </si>
  <si>
    <t>Komfovent UVS60-700x350-70</t>
  </si>
  <si>
    <t>Komfovent AGS-250-50-900-M</t>
  </si>
  <si>
    <t>Komfovent AGS-250-50-600-M</t>
  </si>
  <si>
    <t>Komfovent ALGS-90400-100-M</t>
  </si>
  <si>
    <t>Komfovent LG 800x400</t>
  </si>
  <si>
    <t>Komfovent SHIA-700x350</t>
  </si>
  <si>
    <t>Komfovent LG 400x200</t>
  </si>
  <si>
    <t>Komfovent SRU-R400x200</t>
  </si>
  <si>
    <t>Clima Gold Optima-NW-1-P-WO-Hw- We-1450/1450</t>
  </si>
  <si>
    <t>Komfovent PPU-HW-3R-15-2.5-W2</t>
  </si>
  <si>
    <t>Danfoss RLV-S-15</t>
  </si>
  <si>
    <t>Danfoss RA-N-15+RAS-C</t>
  </si>
  <si>
    <t>Danfoss MSV-B-15, MSV-S15</t>
  </si>
  <si>
    <t>Danfoss MSV-B-20, MSV-S25</t>
  </si>
  <si>
    <t>ø16x2.0</t>
  </si>
  <si>
    <t>ø20x2.2</t>
  </si>
  <si>
    <t>ø25x2.5</t>
  </si>
  <si>
    <t>ø32x3.0</t>
  </si>
  <si>
    <t>ø18/19mm</t>
  </si>
  <si>
    <t>Daudzslāņu metālpolimēru presējamās caurules Wavin Tigris K1, Pe-Xc</t>
  </si>
  <si>
    <t>ø60,3/ø42,3</t>
  </si>
  <si>
    <t>ø60,3 -ø76.3</t>
  </si>
  <si>
    <t>ø60,3 -ø42.3</t>
  </si>
  <si>
    <t>ø42.3 -ø33,7</t>
  </si>
  <si>
    <t>Paroc Selection AluCoat T izolācija</t>
  </si>
  <si>
    <t>Automātslēdzis,  400V, 3-polu,  40A, C Schneider electric</t>
  </si>
  <si>
    <t>Automātslēdzis,  400V, 3-polu,  32A, C Schneider electric</t>
  </si>
  <si>
    <t>Automātslēdzis,  400V, 3-polu,  25A, C Schneider electric</t>
  </si>
  <si>
    <t>Automātslēdzis ar noplūdi 230V, 2-polu, 16A,  Inopl=30mA, C Schneider electric</t>
  </si>
  <si>
    <t>Automātslēdzis,  230V, 1-polu,  10A, C Schneider electric</t>
  </si>
  <si>
    <t>Sadalnes montāžas komplekts Schneider electric</t>
  </si>
  <si>
    <t>Slēdzis,  400V, 3-polu,  40A Schneider electric</t>
  </si>
  <si>
    <t>Automātslēdzis,  400V, 3-polu,  20A, C Schneider electric</t>
  </si>
  <si>
    <t>Automātslēdzis,  400V, 3-polu,  16A, C Schneider electric</t>
  </si>
  <si>
    <t>Automātslēdzis ar noplūdi 400V, 4-polu, 40A,  Inopl=30mA Schneider electric</t>
  </si>
  <si>
    <t>Automātslēdzis,  230V, 1-polu,  16A, C Schneider electric</t>
  </si>
  <si>
    <t>Automātslēdzis,  230V, 1-polu,  6A, C Schneider electric</t>
  </si>
  <si>
    <t>Kontaktors 1-polu, 25A, 1 NO, Usp=230V Schneider electric</t>
  </si>
  <si>
    <t>Kontaktors 3-polu, 25A, 3 NO, Usp=230V Schneider electric</t>
  </si>
  <si>
    <t>Automātslēdzis ar noplūdi 230V, 2-polu, 10A,  Inopl=30mA, C Schneider electric</t>
  </si>
  <si>
    <t>Kontaktors 1-polu, 16A, 1 NO, Usp=230V Schneider electric</t>
  </si>
  <si>
    <r>
      <t>Spēka sadalne</t>
    </r>
    <r>
      <rPr>
        <b/>
        <sz val="10"/>
        <rFont val="Arial"/>
        <family val="2"/>
        <charset val="204"/>
      </rPr>
      <t xml:space="preserve"> AAS ar ARI bloku</t>
    </r>
  </si>
  <si>
    <t>Automātslēdzis,  400V, 3-polu,  6A, C ARI bloks</t>
  </si>
  <si>
    <t>Kontaktors 3-polu, 40A, 3 NO/1NC, Usp=230V Schneider electric</t>
  </si>
  <si>
    <t xml:space="preserve">Sadalnes montāžas komplekts Schneider electric </t>
  </si>
  <si>
    <t>Laika relejs Un = 220VAC 2CO , t=0,8-8s General Electric</t>
  </si>
  <si>
    <t>Sprieguma kontroles relejs Un =380V, 50Hz, 2CO . Telemecanique</t>
  </si>
  <si>
    <t>Fotorelejs komplektā ar devēju. Schneider electric</t>
  </si>
  <si>
    <t>Kontaktors 3-polu, 40A, 3 NO, Usp=230V Schneider electric</t>
  </si>
  <si>
    <t>"Glamox" I50 400W HIE R1</t>
  </si>
  <si>
    <t>"Glamox" MEDICUS-R600 414</t>
  </si>
  <si>
    <t>Prožektors 1x175W, IP65 Fasādēm</t>
  </si>
  <si>
    <t>Prožektors 1x282W, IP65 Fasādēm</t>
  </si>
  <si>
    <t>"Glamox" FLS 150 NB RXs7</t>
  </si>
  <si>
    <t>CRANFORD CONTROLS SYCALL R6847L</t>
  </si>
  <si>
    <t>Kabeļu trepe cinkota, 400mm platums, L=6000mm "WIBE"</t>
  </si>
  <si>
    <t>Kabeļu trepe cinkota, 200mm platums, L=6000mm "WIBE"</t>
  </si>
  <si>
    <t>Montāžas komplekts kab. trepēm KHZ-400 "WIBE"</t>
  </si>
  <si>
    <t>Montāžas komplekts kab. trepēm KHZ-200 "WIBE"</t>
  </si>
  <si>
    <t>OBO BETERMANN 237 N FT(Rd 8-10)</t>
  </si>
  <si>
    <t>OBO BETERMANN 262(Rd 8-10)</t>
  </si>
  <si>
    <t>OBO BETERMANN274 8-10</t>
  </si>
  <si>
    <t>OBO BETERMANN 165 MBG-8</t>
  </si>
  <si>
    <t>OBO BETERMANN 177 55 (Rd 8-10)</t>
  </si>
  <si>
    <t>OBO BETERMANN 2760 20FT, gb</t>
  </si>
  <si>
    <t>OBO BETERMANN 2760 20FT</t>
  </si>
  <si>
    <t>Metālkarkasa ierīkošana Δ75 mm</t>
  </si>
  <si>
    <t>Amortizācijas lente 70 мм</t>
  </si>
  <si>
    <t xml:space="preserve">"PAROC EXTRA" akmens vate Δ75 mm </t>
  </si>
  <si>
    <t>Skrūves, smalka vītne TN 3,5 x 35</t>
  </si>
  <si>
    <t>Skrūves, smalka vītne TN 3,5 x 25 mm</t>
  </si>
  <si>
    <t>Ģipša kartona starpsienu Δ=150 mm montāža Tips S-2</t>
  </si>
  <si>
    <t>Amortizācijas lente 95 мм</t>
  </si>
  <si>
    <t xml:space="preserve">"PAROC EXTRA" akmens vate Δ100 mm </t>
  </si>
  <si>
    <t>GKF riģipsi</t>
  </si>
  <si>
    <t>Sienu apšuvums ar ģipškartonu 2 kārt.</t>
  </si>
  <si>
    <t>Amortizācijas lente 30 мм</t>
  </si>
  <si>
    <t>Knauf Tiefengrund grunts  (0,15l= 1m²)</t>
  </si>
  <si>
    <t>PAROC eXtra Akmens vate Δ50 mm</t>
  </si>
  <si>
    <t>Sienu apšūšana ar profilēta tērauda loksnēm ar siltumizolācijai</t>
  </si>
  <si>
    <t>Starpsienu apšūšana ar profilēta tērauda loksnēm</t>
  </si>
  <si>
    <t>profilēta tērauda loksnes T15-115-1134</t>
  </si>
  <si>
    <t>Montāžas skrūve SPEC 22 krāsota S22-042X019 RR32</t>
  </si>
  <si>
    <t>ŠŪNVEIDA REŽĢOTI ALUMĪNIJA piekārtie griesti GT-2 (b10-150/30)</t>
  </si>
  <si>
    <t>3. Griestu krāsošana</t>
  </si>
  <si>
    <t>KNAUF Tiefengrund Dziļumgrunts</t>
  </si>
  <si>
    <t>KNAUF Sheetrock Super Finish gatavā špaktele, Universālā (zaļš)</t>
  </si>
  <si>
    <t>SADOLIN Bindo Base gruntskrāsa</t>
  </si>
  <si>
    <t>SADOLIN Bindo 7 matēta lateksa krāsa</t>
  </si>
  <si>
    <t>1. G-1 grīdas (527,6 m²)</t>
  </si>
  <si>
    <t>Dz/betona grīdas apdare (sk. Tāmes 1-5)</t>
  </si>
  <si>
    <t>2. G-2 grīdas (893,3 m²)</t>
  </si>
  <si>
    <t>3. G-2A grīdas (121,4 m²)</t>
  </si>
  <si>
    <t>4. G-2B grīdas (55,9 m²)</t>
  </si>
  <si>
    <t>Dz/betona grīdu slīpēšana/sagatavošana</t>
  </si>
  <si>
    <t>Epoksīda grīdas izbūve</t>
  </si>
  <si>
    <t>5.  G-3 grīdas (45,0 m²)</t>
  </si>
  <si>
    <t>Monolīta betona grīdu plātnes betonēšana ∆70 mm</t>
  </si>
  <si>
    <t>Betons C 20/25</t>
  </si>
  <si>
    <t>Grīdu siltumizolācija ∆100 mm (sk. Tāmes 1-5)</t>
  </si>
  <si>
    <t>Armatūras siets 4x200x200</t>
  </si>
  <si>
    <t>Izlīdzinošās cementa-smilšu kārtas izbūve ∆50 mm</t>
  </si>
  <si>
    <t>Java C12/15</t>
  </si>
  <si>
    <t>6.  G-4 grīdas (21,7 m²)</t>
  </si>
  <si>
    <t>keramikas flīzes</t>
  </si>
  <si>
    <t>7.  G-5 grīdas (102,3 m²)</t>
  </si>
  <si>
    <t>Izlīdzinošās cementa-smilšu kārtas izbūve ∆55 mm</t>
  </si>
  <si>
    <t>8. G-6 grīdas (154,0 m²)</t>
  </si>
  <si>
    <t>Grīdu skaņas izolācija ∆30 mm</t>
  </si>
  <si>
    <t>Rockwool Steprock ND 30 mm</t>
  </si>
  <si>
    <t>Izlīdzinošās cementa-smilšu kārtas izbūve ∆65 mm</t>
  </si>
  <si>
    <t>9. G-7. grīdas (3,8 m²)</t>
  </si>
  <si>
    <t>Izlīdzinošās cementa-smilšu kārtas izbūve ∆60 mm</t>
  </si>
  <si>
    <t>Esošās auglīgās augsnes noņemšana, h ivd.=26 cm (pieņemts augsnes biezums)</t>
  </si>
  <si>
    <t>100 m³</t>
  </si>
  <si>
    <t>Esošās caurtekas, ø400, demontāža</t>
  </si>
  <si>
    <t>Koku celmu izrakšana Ø 25-30 cm</t>
  </si>
  <si>
    <t>Būvgružu (koks) iekraušana, izvešana un utilizācija</t>
  </si>
  <si>
    <t>betona bruģis, h=8cm</t>
  </si>
  <si>
    <t>Dīķis, (ekspl. Nr.7.1), V=967 m³</t>
  </si>
  <si>
    <t>Minerālmēsli zālienam</t>
  </si>
  <si>
    <t>Auglīgā augsne h=10 cm</t>
  </si>
  <si>
    <t>Zāliena sēkla</t>
  </si>
  <si>
    <t>Šķembas Fr. 20-40</t>
  </si>
  <si>
    <t>Drenējoša smilts</t>
  </si>
  <si>
    <t>HDPE plēve</t>
  </si>
  <si>
    <t>C33-500-800</t>
  </si>
  <si>
    <t>ø100-45</t>
  </si>
  <si>
    <t>ø200-45</t>
  </si>
  <si>
    <t xml:space="preserve">Bioloģiskās attīrīšanas iekārta q=7,5 m³/dnn, Labko BioKem 50, ar vadības automātikas skapi (400V, 16A, 50Hz). SBR tipa periodiskās darbības bioloģiskās attīrīšanas iekārta. Attīrīšanas procesā tiek pievienots dzelzs sulfāts efektīvai fosfora atdalīšanai. Iekārtai ir jāatbilst EN12566-3 standartam. Iekārtu ražotājam jābūt ISO 9001 un ISO 14001 sertifikātam. </t>
  </si>
  <si>
    <t>Ģeokompozīta Combigrid 60/60 Q1 ieklāšana</t>
  </si>
  <si>
    <t>Dz.betona enkuroša plātne 6,20x3,5x0,3(h), betons C30/37 ar divu rindu stiegrojumu Ø12 B500B s200x200, +troses Ø35mm, L=10m, gab.=6</t>
  </si>
  <si>
    <t xml:space="preserve">Monolīta dz/betona enkuroša plātnes betonēšana </t>
  </si>
  <si>
    <t>Monolīta dz/betona enkuroša plātņu stiegrošana</t>
  </si>
  <si>
    <t>Stiegrojums (t.sk. Troses)</t>
  </si>
  <si>
    <t>Krāsa Neosprint 30 (2.kārtās)</t>
  </si>
  <si>
    <t>Dūmvada montāža</t>
  </si>
  <si>
    <t>Kārba</t>
  </si>
  <si>
    <t>Metāla sadalne, IP65</t>
  </si>
  <si>
    <t>El. silditājs metāla sadalnēm</t>
  </si>
  <si>
    <t>Termoregulātors el. sildltājam</t>
  </si>
  <si>
    <t>Ugunsdrošības signalizācijas panelis</t>
  </si>
  <si>
    <t>Ārejā sirena ar strobu</t>
  </si>
  <si>
    <t>Tastatūra LED</t>
  </si>
  <si>
    <t>Kustības detektors</t>
  </si>
  <si>
    <t>Signalizācijas kabelis</t>
  </si>
  <si>
    <t>Dūmu detektors</t>
  </si>
  <si>
    <t>5 dzislu ar šķērsgriezumu 16,0mm²</t>
  </si>
  <si>
    <t>5 dzislu ar šķērsgriezumu 6,0mm²</t>
  </si>
  <si>
    <t>5 dzislu ar šķērsgriezumu 4,0mm²</t>
  </si>
  <si>
    <t>5 dzislu ar šķērsgriezumu 2,5mm²</t>
  </si>
  <si>
    <t>3 dzislu ar šķērsgriezumu 2,5mm²</t>
  </si>
  <si>
    <t>3 dzislu ar šķērsgriezumu 1,5mm²</t>
  </si>
  <si>
    <t>"Glamox"MIRZ54 236 PC</t>
  </si>
  <si>
    <t>Slēdzis, 400V, 3-polu, 250A Schneider electric</t>
  </si>
  <si>
    <t>Elektrosadales  skapis 36 mod.,  IP44, z/a, ar slēdzeni.</t>
  </si>
  <si>
    <t>Sadales skapis. VA. 4/72. IP65. 435x780x138mm. balts. durvis caurspīdīgas. RH-72/4, ar slēdzeni.</t>
  </si>
  <si>
    <t>Sadales skapis. VA. 4/48. IP65. 330x1040x138mm. ar atslēgu. balts. durvis caurspīdīgas. RH-48/4Z</t>
  </si>
  <si>
    <t>Sadales skapis. VA. 54 (3x18) mod. (WxHxD) 400x600x140mm. IP65. pelēks. durvis caurspīdīgas (RAL 7035)б ar atslēgu</t>
  </si>
  <si>
    <t>Kabelis, instalācijas 1x16.0mm², dz/zaļš</t>
  </si>
  <si>
    <t>Āderuzgalis 1x16.0 mm²</t>
  </si>
  <si>
    <t>Kabeļu kurpe, presējama 16 mm²</t>
  </si>
  <si>
    <t>Gala apdare (g/a) līdz 1kV, četrdzīslu kabelim 150-240 mm², EPKT-0063</t>
  </si>
  <si>
    <t>Gala apdare (g/a) līdz 1kV, četrdzīslu kabelim 16-35 mm², EPKT-0031</t>
  </si>
  <si>
    <t>Tranzitspailes 35mm²</t>
  </si>
  <si>
    <t>Nr.3-2</t>
  </si>
  <si>
    <t>1. Elektroapāde</t>
  </si>
  <si>
    <t>Betonmaisītājis</t>
  </si>
  <si>
    <t>Metālkarkasa ierīkošana solis 1000 mm</t>
  </si>
  <si>
    <t>Sniega barjera montāža</t>
  </si>
  <si>
    <t>stiprinājumi un montāžas elementi</t>
  </si>
  <si>
    <t>kāpņu sekcija RSL3000</t>
  </si>
  <si>
    <t>Kāpņu montāžas komplekts RSLFE</t>
  </si>
  <si>
    <t>Sniega aiztures barjeras caurule, ovāla RSSPIPE3000 3000 mm</t>
  </si>
  <si>
    <t>Sniega aiztures barjeras stiprinājumi RSSFOOTB</t>
  </si>
  <si>
    <t>RUUKKI sienu profils T20-72-1090 PE 0,5 mm Ruukki® 50 Plus Matt</t>
  </si>
  <si>
    <t>STYRODUR 2800 C 1250x600x100mm</t>
  </si>
  <si>
    <t>profilētas tērauda loksnes T113-89L-750, 1,2 mm</t>
  </si>
  <si>
    <t>Gruntēt fasādi ar polimērgrunti un krāsot 2 kārtās</t>
  </si>
  <si>
    <t>Uzklāt dekoratīvo apmetumu</t>
  </si>
  <si>
    <t>Gruntēt cokols ar polimērgrunti</t>
  </si>
  <si>
    <t>Apvilkt siltinājumu plaknēs ar stiklašķiedras sietu 165g/m² , pa armējošu līmjavas kārtu</t>
  </si>
  <si>
    <t>Dz.betona kāpņu laidis</t>
  </si>
  <si>
    <t>Dz.betona kāpņu laukums</t>
  </si>
  <si>
    <t>MONOLĪTA JOSLA MJ-1 + PĀRSEGUMA PLĀTNES ŠUVES betonēšana</t>
  </si>
  <si>
    <t>MONOLĪTA JOSLA MJ-1 + PĀRSEGUMA PLĀTNES ŠUVES stiegrošana</t>
  </si>
  <si>
    <t>Vārtu VP1 montāža 3600x4500</t>
  </si>
  <si>
    <t>Vārtu VP2 montāža 3000x3000</t>
  </si>
  <si>
    <t>Sekc.paceļamie vārti VP1</t>
  </si>
  <si>
    <t>Sekc.paceļamie vārti VP2</t>
  </si>
  <si>
    <t>Pārseguma izbūve ar "sendvič" paneliem  TRIMO SNV 100 mm</t>
  </si>
  <si>
    <t>Antikondensāta plēves pārklāšana</t>
  </si>
  <si>
    <t>ELKATEK SILVER ANTICON antikondensāta plēve</t>
  </si>
  <si>
    <t>Jumta seguma pārklāšana</t>
  </si>
  <si>
    <t>Metālkarkasa ierīkošana solis 1250 mm</t>
  </si>
  <si>
    <t>Vārtu VP1 montāža 3000x3150</t>
  </si>
  <si>
    <t>plastikāta palodze pl: 20cm</t>
  </si>
  <si>
    <t>Trauku māzgatne, sifons un jaucējkrāns, 2 ventiļi ø15</t>
  </si>
  <si>
    <t>Traps DN100 (analogs HL3100Pr) ar "sauso" sifonu, ar režģi 145x145 no kaļama ķeta, q=1.25l/s</t>
  </si>
  <si>
    <t>Ūdens skaitītājs DN20, q=3,0m³/st</t>
  </si>
  <si>
    <t>Filtrs</t>
  </si>
  <si>
    <t>Redukcijas uzmava no DN40 uz DN20</t>
  </si>
  <si>
    <t>Ūdens uzskaites mezgls:</t>
  </si>
  <si>
    <t>Redukcijas uzmava no De63 uz De40</t>
  </si>
  <si>
    <r>
      <t>Spiediena relēja P</t>
    </r>
    <r>
      <rPr>
        <vertAlign val="subscript"/>
        <sz val="9"/>
        <rFont val="Arial"/>
        <family val="2"/>
      </rPr>
      <t>min</t>
    </r>
    <r>
      <rPr>
        <sz val="9"/>
        <rFont val="Arial"/>
        <family val="2"/>
      </rPr>
      <t>=4,5 bar P</t>
    </r>
    <r>
      <rPr>
        <vertAlign val="subscript"/>
        <sz val="9"/>
        <rFont val="Arial"/>
        <family val="2"/>
      </rPr>
      <t>max</t>
    </r>
    <r>
      <rPr>
        <sz val="9"/>
        <rFont val="Arial"/>
        <family val="2"/>
      </rPr>
      <t>=5,5 bar</t>
    </r>
  </si>
  <si>
    <t>Membrānu hidrofors uz 1m³</t>
  </si>
  <si>
    <t>Atslēdzoša armatūra DN40</t>
  </si>
  <si>
    <t>Ūdensvada caurule DN40 ūd.s. Iekārtas apsaistes caurules</t>
  </si>
  <si>
    <t>Ūdens sagatavošanas iekārta (piemeklēt konkrēto iekārtu pēc ūdens analīzes veikšanas), 3m³/st.</t>
  </si>
  <si>
    <t>AUKSTĀ ŪDENSVADA TĪKLS (Ū0)</t>
  </si>
  <si>
    <t>Lokālā tāme Nr.4-1</t>
  </si>
  <si>
    <t>Betons С30/37</t>
  </si>
  <si>
    <t>Sūknīs</t>
  </si>
  <si>
    <r>
      <rPr>
        <sz val="9"/>
        <rFont val="Arial"/>
        <family val="2"/>
      </rPr>
      <t>gab.</t>
    </r>
  </si>
  <si>
    <r>
      <rPr>
        <sz val="9"/>
        <rFont val="Arial"/>
        <family val="2"/>
      </rPr>
      <t>Manometrs 0-10 atm</t>
    </r>
  </si>
  <si>
    <r>
      <rPr>
        <sz val="9"/>
        <rFont val="Arial"/>
        <family val="2"/>
      </rPr>
      <t>Manomerta krāns. DN15</t>
    </r>
  </si>
  <si>
    <r>
      <rPr>
        <sz val="9"/>
        <rFont val="Arial"/>
        <family val="2"/>
      </rPr>
      <t>Redukcija. 2" uz 1/2"</t>
    </r>
  </si>
  <si>
    <r>
      <rPr>
        <sz val="9"/>
        <rFont val="Arial"/>
        <family val="2"/>
      </rPr>
      <t>Ventilis 1/2"</t>
    </r>
  </si>
  <si>
    <r>
      <rPr>
        <sz val="9"/>
        <rFont val="Arial"/>
        <family val="2"/>
      </rPr>
      <t>Atgaisotājs. Pn=16 MPa, 1/2"</t>
    </r>
  </si>
  <si>
    <r>
      <rPr>
        <sz val="9"/>
        <rFont val="Arial"/>
        <family val="2"/>
      </rPr>
      <t>Trejgabals. DN100x100</t>
    </r>
  </si>
  <si>
    <t>Atloku gala noslēgs ar vītni DN100x2"</t>
  </si>
  <si>
    <t>Pretvārsts. Pn = 16 MPa. DN100</t>
  </si>
  <si>
    <r>
      <rPr>
        <sz val="9"/>
        <rFont val="Arial"/>
        <family val="2"/>
      </rPr>
      <t>Ventilis. DN 100</t>
    </r>
  </si>
  <si>
    <r>
      <rPr>
        <sz val="9"/>
        <rFont val="Arial"/>
        <family val="2"/>
      </rPr>
      <t>Trejgabals. DN100x50x100</t>
    </r>
  </si>
  <si>
    <t>Savienošais uzgalis. 2" (sūkņa darbināšanai)</t>
  </si>
  <si>
    <r>
      <rPr>
        <sz val="9"/>
        <rFont val="Arial"/>
        <family val="2"/>
      </rPr>
      <t>Atloku adapteris DN100 Del 10</t>
    </r>
  </si>
  <si>
    <r>
      <rPr>
        <sz val="9"/>
        <rFont val="Arial"/>
        <family val="2"/>
      </rPr>
      <t>Hermētiskais atrezisko aku gals</t>
    </r>
  </si>
  <si>
    <r>
      <rPr>
        <sz val="9"/>
        <rFont val="Arial"/>
        <family val="2"/>
      </rPr>
      <t>Betona balsts</t>
    </r>
  </si>
  <si>
    <r>
      <rPr>
        <sz val="9"/>
        <rFont val="Arial"/>
        <family val="2"/>
      </rPr>
      <t>Savienojoša EL karba</t>
    </r>
  </si>
  <si>
    <t>H= 2,42m, Ø2000, Urbums, skat. ŪKT-16</t>
  </si>
  <si>
    <t xml:space="preserve">              Bruģakmens laukuma segums:</t>
  </si>
  <si>
    <t>Šķembu maisījums, fr. 0÷45, h=25 cm</t>
  </si>
  <si>
    <t>Betona piebraucamā ceļa segums:</t>
  </si>
  <si>
    <t>Valčbetona (RCC) CC35 seguma kārta, h-17cm</t>
  </si>
  <si>
    <t>Salizturīgais slānis, h= 55 cm</t>
  </si>
  <si>
    <t>Betona piebraucamā ceļa un laukuma segums:</t>
  </si>
  <si>
    <t xml:space="preserve"> Grants nomales segums:</t>
  </si>
  <si>
    <t>Minerālmateriālu maisījumu 0/32s slānis ∆140 mm</t>
  </si>
  <si>
    <t xml:space="preserve"> Asfaltbetona frēzēšana un atjaunošana</t>
  </si>
  <si>
    <t>Esošā asfaltbetona frzēšana un segas virskārtas atjaunošana ar asfaltbetonu AC11 surf, h=4 cm</t>
  </si>
  <si>
    <t xml:space="preserve">Minerālmateriāla maisījumu 0/32s, h= 10cm </t>
  </si>
  <si>
    <t xml:space="preserve"> Nesaistītu minerālmateriālu caurtekas pamata nesošā kārta 20 cm biezumā</t>
  </si>
  <si>
    <t xml:space="preserve"> Nesaistītu minerālmateriālu caurtekas pamata nesošā kārta 30 cm biezumā</t>
  </si>
  <si>
    <t>Caurtekas gali nostiprināti ar laukakmeni (∅100mm-∅250mm) betonā C30/37 uz blietēta šķembu
 pamata 10cm biezumā</t>
  </si>
  <si>
    <t>Aizsargcaurules, D110</t>
  </si>
  <si>
    <t xml:space="preserve"> HDPE plēve, 1.5mm</t>
  </si>
  <si>
    <t xml:space="preserve"> Uzbēruma grunts, h=10 cm</t>
  </si>
  <si>
    <t>Brauktuves apmales izbūve uz betona pamata _x000D_un šķembu spilvena ierīkošana, marka BA.100.22.15, h=0 cm/BA.100.30.15, h=12 cm</t>
  </si>
  <si>
    <t>Ceļa zīmes, Nr. 206</t>
  </si>
  <si>
    <t>Ceļa zīmes, Nr. 207</t>
  </si>
  <si>
    <t>Ceļa zīmes, Nr. 208</t>
  </si>
  <si>
    <t>Ceļa zīmes, Nr. 209</t>
  </si>
  <si>
    <t>Ceļa zīmes, Nr. 301</t>
  </si>
  <si>
    <t>Ceļa zīmes, Nr. 323</t>
  </si>
  <si>
    <t>Ceļa zīmes, Nr. 324</t>
  </si>
  <si>
    <t>Ceļa zīmes, Nr. 501</t>
  </si>
  <si>
    <t>Ceļa zīmes, Nr. 502</t>
  </si>
  <si>
    <t>Cinkots metāla stabs</t>
  </si>
  <si>
    <t>Z200x70 metāla profils t=3 mm</t>
  </si>
  <si>
    <t>Sienu krāsošana emulsijas krāsai 2 kārt.</t>
  </si>
  <si>
    <t>Sienu krāsošana akrila krāsai 2 kārt.</t>
  </si>
  <si>
    <t>Salin Colour Test matēta krāsa</t>
  </si>
  <si>
    <t>Šķembu sagatavošanas slānis</t>
  </si>
  <si>
    <t>Urbuma specifikācijā :</t>
  </si>
  <si>
    <t>Vertikālas kāpnes uz jumta 7,0 t.m.</t>
  </si>
  <si>
    <t>kāpņu sekcija RSL1200</t>
  </si>
  <si>
    <t>Sniega aiztures barjeras caurule, ovāla RSSPIPE3000 3000 mm ZN</t>
  </si>
  <si>
    <t>1.Jumta izbūve (2521,0 m²)</t>
  </si>
  <si>
    <t>Metālkarkasa ierīkošana solis 1200 mm</t>
  </si>
  <si>
    <t>Z180x70 metāla profils t=1,5 mm</t>
  </si>
  <si>
    <t>3. Dažādi darbi</t>
  </si>
  <si>
    <t>1. Jumta izbūve tips A (1081,0 m²)</t>
  </si>
  <si>
    <t>profilētas tērauda loksnes T45-37W-900, 50 Plus Matt, RR22</t>
  </si>
  <si>
    <t>2. Jumta izbūve tips B (831,0 m²)</t>
  </si>
  <si>
    <t>Z300x70, S350GD+Z275 Ns t=1,5 mm</t>
  </si>
  <si>
    <t>2. Laukuma elektroapāde</t>
  </si>
  <si>
    <t>3. Laukuma apgaisme</t>
  </si>
  <si>
    <t>4. Ielas apgaisme</t>
  </si>
  <si>
    <r>
      <t xml:space="preserve">Objekta nosaukums: </t>
    </r>
    <r>
      <rPr>
        <b/>
        <sz val="9"/>
        <rFont val="Arial"/>
        <family val="2"/>
      </rPr>
      <t>Ražošānas teritorija "</t>
    </r>
    <r>
      <rPr>
        <b/>
        <sz val="9"/>
        <rFont val="Arial"/>
        <family val="2"/>
        <charset val="204"/>
      </rPr>
      <t>Ķieģeļceplis"</t>
    </r>
  </si>
  <si>
    <t>Piekārtie griesti "Armstrong" tipa</t>
  </si>
  <si>
    <t>"BETONGRUNTS" zemapmetuma grunts</t>
  </si>
  <si>
    <t>Sakret CLP maisījums</t>
  </si>
  <si>
    <t>Stiklašķiedras siets iekšdarbiem</t>
  </si>
  <si>
    <t>3-1. Dzelzsbetona griesti</t>
  </si>
  <si>
    <t>3-2. Ģipškartona griesti</t>
  </si>
  <si>
    <t>OMIS Antibakteriālā akrila grunts</t>
  </si>
  <si>
    <t>OMIS Ūdensizturīga akrila krāsa sienām un griestiem</t>
  </si>
  <si>
    <t>Griestu apmetums (šuvju aizpildījums)</t>
  </si>
  <si>
    <t>Nr.3-3</t>
  </si>
  <si>
    <t>ST</t>
  </si>
  <si>
    <t>Lokālā tāme Nr.3-3</t>
  </si>
  <si>
    <t>Tranšeja horizontālam zemēšanas kontūram</t>
  </si>
  <si>
    <t>Teritorijas labiekārtošana</t>
  </si>
  <si>
    <t>Horizontālā zemētāja montāža tranšejā</t>
  </si>
  <si>
    <t>Vertikālā zemētāja dziļumā  līdz 5 m montāža</t>
  </si>
  <si>
    <t>Zemēšanas kontūra pretestības mērīšana</t>
  </si>
  <si>
    <t>kontūrs</t>
  </si>
  <si>
    <t xml:space="preserve">1. TA 20/0,42.250P-SDG montāža. Darbu izmaksas </t>
  </si>
  <si>
    <t>Traversa starpbalstam, horizontāla, attālums starp vadiem 1200 mm, SSBT20.1, "JAUDA"</t>
  </si>
  <si>
    <t xml:space="preserve">Traversa portāla starpbalstam, attālums starp vadiem 650 mm, starp stabiem 1900 mm </t>
  </si>
  <si>
    <t xml:space="preserve">Transformatora stiprināšanas komplekts portālbalstā ar traversu L=1900 mm </t>
  </si>
  <si>
    <t xml:space="preserve">Termonosēdināmā uzlika stabam, d=250 mm </t>
  </si>
  <si>
    <t>Balstu cepure, 240 mm, f. "JUDA"</t>
  </si>
  <si>
    <t>Bultskrūve M16x550 ar 2 kvadrātplāksnēm un uzgriezni, cinkota</t>
  </si>
  <si>
    <t>Bultskrūve M20x450 ar 2 kvadrātplāksnēm un uzgriezni, cinkota</t>
  </si>
  <si>
    <t>Tapizolators, porcelāna (vītne tiešai montāžai uz tapas), 24 kV, SDI37</t>
  </si>
  <si>
    <t>Kabeļu kurpe, skrūvējama 16-50 mm²</t>
  </si>
  <si>
    <t>Pārsprieguma novadītājs, metāloksīda, 24kV, POLIM-D24N</t>
  </si>
  <si>
    <t>Nozarspaile Al 16-120 mm², SL 4.21</t>
  </si>
  <si>
    <t>Stabs, koka, V stiprības klase impregnēts, L=9m</t>
  </si>
  <si>
    <t>Stabs, koka, V stiprības klase impregnēts, L=12m</t>
  </si>
  <si>
    <t>Sadales transformators, 20/0.4 kV, 250 kVA, Dyn11</t>
  </si>
  <si>
    <t>Stieple, alumīnija 16 mm², AVSS16, f. "JAUDA"</t>
  </si>
  <si>
    <t>Vads, izolēts CCSXWK 35 mm²</t>
  </si>
  <si>
    <t xml:space="preserve">Izvads zemējuma, daļēji cinkots tērauds, d=10 mm, 2.7m </t>
  </si>
  <si>
    <t>Zemējuma plakandzelzis, cinkots  4x40 mm</t>
  </si>
  <si>
    <t>Lenta zemējuma kontūra savienojumu hermetizācijai</t>
  </si>
  <si>
    <t>24kV drošinātāja kustošais ieliktnis BWMW-16A</t>
  </si>
  <si>
    <t>Putnu aizsargcepurītes transformatora 20kV, HU150, f."ABB"</t>
  </si>
  <si>
    <t>Rīģelis, koka, L=2300mm, d=160 mm</t>
  </si>
  <si>
    <t>Kailvads, alumīnija ar tērauda stieples serdi AT-35</t>
  </si>
  <si>
    <t>TA zemējums</t>
  </si>
  <si>
    <t>2. TA 20/0,42.250P-SDG montāža. Materiālu izmaksas</t>
  </si>
  <si>
    <t>Tranšejas rakšana un aizbēršana viena līdz divu kabeļu (caurules) gūldīšanai 0.7m dziļumā</t>
  </si>
  <si>
    <t>Kabeļu aizsargcaurules d=līdz 110 mm ieguldīšana gatavā tranšejā</t>
  </si>
  <si>
    <t>ZS kabeļa 185 mm² un lielāka ievēršana caurulē</t>
  </si>
  <si>
    <t>ZS kabeļa (visu šķērsgriezumu) montāža pa koka balstu</t>
  </si>
  <si>
    <t>ZS plastmasas izolācijas kabeļa 185 mm²  un lielāka gala apdare</t>
  </si>
  <si>
    <t>ZS kabeļa AMKA montāža pārejā</t>
  </si>
  <si>
    <t xml:space="preserve">Sadalnes papildramja vai kabeļu ievada sekcijas montāža </t>
  </si>
  <si>
    <t>Drošinātāju uzstādīšana</t>
  </si>
  <si>
    <t xml:space="preserve">3. ZS 0,4kV KL montāža. Darbu izmaksas </t>
  </si>
  <si>
    <t xml:space="preserve">Distances sprādze kabeļu montāžai uz koka balstiem, kab. d=45-100 mm </t>
  </si>
  <si>
    <t>Zemējuma kopne brīvgaisa transformatoriem balstā</t>
  </si>
  <si>
    <t>TP</t>
  </si>
  <si>
    <t>Kabelis, instalācijas 1x16.0mm2, dz/zaļš</t>
  </si>
  <si>
    <t xml:space="preserve">Spaile, kopņu 50-240mm²  Al </t>
  </si>
  <si>
    <t>Drošinātājs, NH2, gL/gG, 250 A</t>
  </si>
  <si>
    <t>Drošinātājs, NH2, gTr, 250 kVA</t>
  </si>
  <si>
    <t>Kabeļu aizsardzības caurule FF-kabuflex R-40, L=2,6m</t>
  </si>
  <si>
    <t>Aizsargcaurules skava tips 1000, "BETERMANN"</t>
  </si>
  <si>
    <t>Kabeļu skava tips 1060, "BETERMANN"</t>
  </si>
  <si>
    <t>4. ZS 0,4kV KL montāža. Materiālu izmaksas</t>
  </si>
  <si>
    <t>EPL vai sarkanās līnijas nospraušana (ieskaitot zemējuma kontūra nospraušanu)</t>
  </si>
  <si>
    <t>EPL digitālā uzmērīšana (ieskaitot zemējuma kontūra uzmērīšanu)</t>
  </si>
  <si>
    <t>obj.</t>
  </si>
  <si>
    <t>VS starpbalsta  (I-balsta) montāža</t>
  </si>
  <si>
    <t>VS starpbalsta (I-balsta) demontāža</t>
  </si>
  <si>
    <t>VS vadu stiprinājums ar sānu cilpu</t>
  </si>
  <si>
    <t>balsts</t>
  </si>
  <si>
    <t>5. Organizatoriskie pasākumi</t>
  </si>
  <si>
    <t>6. Abonenta daļa</t>
  </si>
  <si>
    <t xml:space="preserve">6-1. Starpbalsta  S20.1-13 montāža.Darbu izmaksas </t>
  </si>
  <si>
    <t>6-2. Starpbalsta  S20.1-13 montāža. Materiālu izmaksas</t>
  </si>
  <si>
    <t>Tranšeja - bedre kabeļa vai citu apakšzemes komunikāciju apsekošanai (šurfēšana)</t>
  </si>
  <si>
    <t>VS kabeļa aizsrdzība ar daļito cauruli</t>
  </si>
  <si>
    <t>Kabeļu aizsardzības caurule d=160, zemē guldāmā, dalāmā 750N</t>
  </si>
  <si>
    <t>7-5. Organizatoriskie pasākumi</t>
  </si>
  <si>
    <t>EPL vai sarkanās līnijas nospraušana</t>
  </si>
  <si>
    <t>EPL digitālā uzmērīšana.</t>
  </si>
  <si>
    <t xml:space="preserve">Ražošanas izmaksas par darba organizāciju un pielaišanu pie darba </t>
  </si>
  <si>
    <t>Transporta un gājēju kustības organizēšana</t>
  </si>
  <si>
    <t>Darbu organizācijas projekts</t>
  </si>
  <si>
    <t xml:space="preserve">6-3. Kabeļu aizsardzība.Darbu izmaksas </t>
  </si>
  <si>
    <t>6-4. Kabeļu aizsardzība. Materiālu izmaksas</t>
  </si>
  <si>
    <r>
      <t xml:space="preserve">P balsta TP </t>
    </r>
    <r>
      <rPr>
        <b/>
        <sz val="9"/>
        <rFont val="Arial"/>
        <family val="2"/>
      </rPr>
      <t>TA 20/0,42.250P-SDG</t>
    </r>
    <r>
      <rPr>
        <sz val="9"/>
        <rFont val="Arial"/>
        <family val="2"/>
      </rPr>
      <t xml:space="preserve"> ar drošinātājiem montāža</t>
    </r>
  </si>
  <si>
    <r>
      <t xml:space="preserve">Nozarspaile </t>
    </r>
    <r>
      <rPr>
        <b/>
        <sz val="9"/>
        <rFont val="Arial"/>
        <family val="2"/>
      </rPr>
      <t>SL.2.1</t>
    </r>
  </si>
  <si>
    <r>
      <t xml:space="preserve">Nozarspaile </t>
    </r>
    <r>
      <rPr>
        <b/>
        <sz val="9"/>
        <rFont val="Arial"/>
        <family val="2"/>
      </rPr>
      <t>SM.2.1</t>
    </r>
  </si>
  <si>
    <r>
      <t xml:space="preserve">Zemētājspaile </t>
    </r>
    <r>
      <rPr>
        <b/>
        <sz val="9"/>
        <rFont val="Arial"/>
        <family val="2"/>
      </rPr>
      <t>SE 15</t>
    </r>
  </si>
  <si>
    <r>
      <t xml:space="preserve">Kabeļkurpe </t>
    </r>
    <r>
      <rPr>
        <b/>
        <sz val="9"/>
        <rFont val="Arial"/>
        <family val="2"/>
      </rPr>
      <t>KG17</t>
    </r>
  </si>
  <si>
    <r>
      <t xml:space="preserve">Cinkotas stieples skava d=4mm, </t>
    </r>
    <r>
      <rPr>
        <b/>
        <sz val="9"/>
        <rFont val="Arial"/>
        <family val="2"/>
      </rPr>
      <t>ZSK-8</t>
    </r>
    <r>
      <rPr>
        <sz val="9"/>
        <rFont val="Arial"/>
        <family val="2"/>
      </rPr>
      <t>, "JAUDA"</t>
    </r>
  </si>
  <si>
    <r>
      <t xml:space="preserve">Brīvgaisa TP ZS sadalnes uzstādīšana </t>
    </r>
    <r>
      <rPr>
        <b/>
        <sz val="9"/>
        <rFont val="Arial"/>
        <family val="2"/>
      </rPr>
      <t>IUSR-400-250/5</t>
    </r>
    <r>
      <rPr>
        <sz val="9"/>
        <rFont val="Arial"/>
        <family val="2"/>
      </rPr>
      <t xml:space="preserve"> tipa</t>
    </r>
  </si>
  <si>
    <r>
      <t xml:space="preserve">Pamatne </t>
    </r>
    <r>
      <rPr>
        <b/>
        <sz val="9"/>
        <rFont val="Arial"/>
        <family val="2"/>
      </rPr>
      <t>IUSR-P</t>
    </r>
    <r>
      <rPr>
        <sz val="9"/>
        <rFont val="Arial"/>
        <family val="2"/>
      </rPr>
      <t xml:space="preserve"> (PTAS)</t>
    </r>
  </si>
  <si>
    <r>
      <t xml:space="preserve">Strāvmainis </t>
    </r>
    <r>
      <rPr>
        <b/>
        <sz val="9"/>
        <rFont val="Arial"/>
        <family val="2"/>
      </rPr>
      <t>EPSA 315</t>
    </r>
    <r>
      <rPr>
        <sz val="9"/>
        <rFont val="Arial"/>
        <family val="2"/>
      </rPr>
      <t xml:space="preserve"> 250/5A kl.0.5, 5VA</t>
    </r>
  </si>
  <si>
    <r>
      <t xml:space="preserve">Sadalne </t>
    </r>
    <r>
      <rPr>
        <b/>
        <sz val="9"/>
        <rFont val="Arial"/>
        <family val="2"/>
      </rPr>
      <t>IUSR</t>
    </r>
    <r>
      <rPr>
        <sz val="9"/>
        <rFont val="Arial"/>
        <family val="2"/>
      </rPr>
      <t>-400-250/5</t>
    </r>
  </si>
  <si>
    <r>
      <t xml:space="preserve">Spaiļu savienotājkopne, </t>
    </r>
    <r>
      <rPr>
        <b/>
        <sz val="9"/>
        <rFont val="Arial"/>
        <family val="2"/>
      </rPr>
      <t>PSS10</t>
    </r>
  </si>
  <si>
    <r>
      <t xml:space="preserve">Stieple, alumīnija 16 mm², </t>
    </r>
    <r>
      <rPr>
        <b/>
        <sz val="10"/>
        <rFont val="Arial"/>
        <family val="2"/>
      </rPr>
      <t>AVSS-16</t>
    </r>
    <r>
      <rPr>
        <sz val="10"/>
        <rFont val="Arial"/>
        <family val="2"/>
      </rPr>
      <t>, f. "JUDA"</t>
    </r>
  </si>
  <si>
    <t>Trokšņu slāpētājs izliektais 90‘</t>
  </si>
  <si>
    <t>Pieplūdes reste ar plūsmas regulatorvārstu</t>
  </si>
  <si>
    <t>Divvērtņu durvju bloku ar atsperiem un atduriem montāža UDV-1 EI30 1970x2180 Standarta krāsu vērtne</t>
  </si>
  <si>
    <t>Dizeļģenerators 400/230V, 10kW</t>
  </si>
  <si>
    <t>1. Būvuzņēmējam ņemt vērā, ka šīs sadaļas darbu veikšanai, būs nepieciešams slēgt sadarbības līgumu ar AS "Sadales tīkls".</t>
  </si>
  <si>
    <t>Piezīmes</t>
  </si>
  <si>
    <t>2. Darbu veidiem, kuriem uzrādīta tilpuma mērvienība, daudzums uzrādīts blīvā veidā.</t>
  </si>
  <si>
    <t>3. Būvuzņēmējam jāievērtē Darbu daudzumu sarakstā minēto darbu veikšanai nepieciešamie materiāli un papildus darbi, kas nav minēti šajā sarakstā, bet bez kuriem nebūtu iespējama būvdarbu tehnoloģiski</t>
  </si>
  <si>
    <t xml:space="preserve"> pareiza un spēkā esošajiem normatīviem atbilstoša darba veikšana pilnā apjomā.</t>
  </si>
  <si>
    <t>4. Dotais saraksts skatāms kopā ar rasējumiem un citām projekta daļām.</t>
  </si>
  <si>
    <t>5. Projektā paredzētos materiālus iespējams aizstāt ar līdzvērtīgiem, kas nepasliktina ietaises elektrotehniskās īpašības, kā arī izbūves un ekspluatācijas drošību.</t>
  </si>
  <si>
    <t>Piezīme:</t>
  </si>
  <si>
    <t>1. Lokālās tāmes Nr. 0-1 norādītie zemes darbi attiecās uz laukumu zem jaunbūvējamām ēkām</t>
  </si>
  <si>
    <t>Piezīmes:</t>
  </si>
  <si>
    <t>1. Nesošās grīdas rasējumus skat. Lapā BK-1-06</t>
  </si>
  <si>
    <t>Monolīta dz/betona apmales betonēšana</t>
  </si>
  <si>
    <t>2. Monolīta dz/betona apmales betonēšana H=100mm</t>
  </si>
  <si>
    <t>1. Nesošās grīdas griezumus un plānu skat. Lapā BK-2-07</t>
  </si>
  <si>
    <t>1. Apsardzes ēkas pamatnes izbūves prasības precizēt atbilstoši rūpnīcas-ražotāja prasībām</t>
  </si>
  <si>
    <t>17-1</t>
  </si>
  <si>
    <t>13-1</t>
  </si>
  <si>
    <t>13-2</t>
  </si>
  <si>
    <t>16</t>
  </si>
  <si>
    <t>15-1</t>
  </si>
  <si>
    <t>5-1</t>
  </si>
  <si>
    <t>1-3</t>
  </si>
  <si>
    <t>1-4</t>
  </si>
  <si>
    <t>2-1</t>
  </si>
  <si>
    <t>2-2</t>
  </si>
  <si>
    <t>2-3</t>
  </si>
  <si>
    <t>2-4</t>
  </si>
  <si>
    <t>3-1</t>
  </si>
  <si>
    <t>3-2</t>
  </si>
  <si>
    <t>3-3</t>
  </si>
  <si>
    <t>5-2</t>
  </si>
  <si>
    <t>5-3</t>
  </si>
  <si>
    <t>5-4</t>
  </si>
  <si>
    <t>6-1</t>
  </si>
  <si>
    <t>6-2</t>
  </si>
  <si>
    <t>6-3</t>
  </si>
  <si>
    <t>6-4</t>
  </si>
  <si>
    <t>9-1</t>
  </si>
  <si>
    <t>9-2</t>
  </si>
  <si>
    <t>9-3</t>
  </si>
  <si>
    <t>9-4</t>
  </si>
  <si>
    <t>10-1</t>
  </si>
  <si>
    <t>10-2</t>
  </si>
  <si>
    <t>10-3</t>
  </si>
  <si>
    <t>11-1</t>
  </si>
  <si>
    <t>11-2</t>
  </si>
  <si>
    <t>11-3</t>
  </si>
  <si>
    <t>11-4</t>
  </si>
  <si>
    <t>12-1</t>
  </si>
  <si>
    <t>12-2</t>
  </si>
  <si>
    <t>12-3</t>
  </si>
  <si>
    <t>13-3</t>
  </si>
  <si>
    <t>13-4</t>
  </si>
  <si>
    <t>14-1</t>
  </si>
  <si>
    <t>14-2</t>
  </si>
  <si>
    <t>14-3</t>
  </si>
  <si>
    <t>16-1</t>
  </si>
  <si>
    <t>17-2</t>
  </si>
  <si>
    <t>17-3</t>
  </si>
  <si>
    <t>17-4</t>
  </si>
  <si>
    <t>18-1</t>
  </si>
  <si>
    <t>18-2</t>
  </si>
  <si>
    <t>18-3</t>
  </si>
  <si>
    <t>18-4</t>
  </si>
  <si>
    <t>18-5</t>
  </si>
  <si>
    <t>19-1</t>
  </si>
  <si>
    <t>19-2</t>
  </si>
  <si>
    <t>19-3</t>
  </si>
  <si>
    <t>20-1</t>
  </si>
  <si>
    <t>21-1</t>
  </si>
  <si>
    <t>4-1</t>
  </si>
  <si>
    <t>4-2</t>
  </si>
  <si>
    <t>5-5</t>
  </si>
  <si>
    <t>5-6</t>
  </si>
  <si>
    <t>5-7</t>
  </si>
  <si>
    <t>5-8</t>
  </si>
  <si>
    <t>5-9</t>
  </si>
  <si>
    <t>5-10</t>
  </si>
  <si>
    <t>4-3</t>
  </si>
  <si>
    <t>Logu bloku montāža  (prasības skat. NOLIKTAVA Lapā AR-2) 16 gab.</t>
  </si>
  <si>
    <t>1. poz.1. VERAMS LOGS LD -DŪMU IZVADES AILA SIENĀ, APRĪKOTA AR ROKAS ATVĒRŠANAS MEHĀNISMU NO GRĪDAS LĪMEŅA AR PAGARINĀJUMU. Gab.16</t>
  </si>
  <si>
    <t>2. VĀRTU DURVIS APRĪKOT AR PAŠAIZVĒRŠANĀS MEHĀNISMIEM.</t>
  </si>
  <si>
    <t>3. DURVIS D1K APRĪKOT AR PAŠAIZVĒRŠANĀS MEHĀNISMU GEZE 3000 vai analogu un ATDURI .</t>
  </si>
  <si>
    <t>Durvju bloka D1K montāža (metāls 970x2080)</t>
  </si>
  <si>
    <t>10-4</t>
  </si>
  <si>
    <t>12-4</t>
  </si>
  <si>
    <t>15-2</t>
  </si>
  <si>
    <t>15-3</t>
  </si>
  <si>
    <t>15-4</t>
  </si>
  <si>
    <t>16-2</t>
  </si>
  <si>
    <t>16-3</t>
  </si>
  <si>
    <t>19-4</t>
  </si>
  <si>
    <t>20-2</t>
  </si>
  <si>
    <t>20-3</t>
  </si>
  <si>
    <t>22-1</t>
  </si>
  <si>
    <t>22-2</t>
  </si>
  <si>
    <t>22-3</t>
  </si>
  <si>
    <t>22-4</t>
  </si>
  <si>
    <t>23-1</t>
  </si>
  <si>
    <t>23-2</t>
  </si>
  <si>
    <t>23-3</t>
  </si>
  <si>
    <t>23-4</t>
  </si>
  <si>
    <t>23-5</t>
  </si>
  <si>
    <t>24-1</t>
  </si>
  <si>
    <t>24-2</t>
  </si>
  <si>
    <t>24-3</t>
  </si>
  <si>
    <t>25-1</t>
  </si>
  <si>
    <t>26-1</t>
  </si>
  <si>
    <t>27-1</t>
  </si>
  <si>
    <t>28-1</t>
  </si>
  <si>
    <t>28-2</t>
  </si>
  <si>
    <t>28-3</t>
  </si>
  <si>
    <t>28-4</t>
  </si>
  <si>
    <t>29-1</t>
  </si>
  <si>
    <t>29-2</t>
  </si>
  <si>
    <t>29-3</t>
  </si>
  <si>
    <t>29-4</t>
  </si>
  <si>
    <t>29-5</t>
  </si>
  <si>
    <t>30-1</t>
  </si>
  <si>
    <t>30-2</t>
  </si>
  <si>
    <t>30-3</t>
  </si>
  <si>
    <t>31-1</t>
  </si>
  <si>
    <t>32-1</t>
  </si>
  <si>
    <t>33-1</t>
  </si>
  <si>
    <t>4-4</t>
  </si>
  <si>
    <t>8-1</t>
  </si>
  <si>
    <t>8-2</t>
  </si>
  <si>
    <t>8-3</t>
  </si>
  <si>
    <t>21-2</t>
  </si>
  <si>
    <t>9-5</t>
  </si>
  <si>
    <t>9-6</t>
  </si>
  <si>
    <t>9-7</t>
  </si>
  <si>
    <t>9-8</t>
  </si>
  <si>
    <t>9-9</t>
  </si>
  <si>
    <t>9-10</t>
  </si>
  <si>
    <t>Durvju bloku montāža D-1 PVC (970x2080 - 8 gab.)</t>
  </si>
  <si>
    <t>Durvju bloku montāža D-2 PVC (820x2080 - 8 gab.)</t>
  </si>
  <si>
    <t>Divvērtņu durvju bloku montāža DV-2 PVC (1370x2130 - 1 gab.)</t>
  </si>
  <si>
    <t>Divvērtņu durvju bloku montāža DV-4 PVC (1370x2130 ar virslogu 1370x450 - 1 gab.)</t>
  </si>
  <si>
    <t>Divvērtņu durvju bloku montāža DV-1 metāls (1970x2180 ar siltumizolāciju)</t>
  </si>
  <si>
    <t>Durvju bloku montāža UD-1, UD-3, EI30 970x2180 Standarta krāsu vērtne</t>
  </si>
  <si>
    <t>Durvju bloku montāža UD-2 EI30 970x2080 Standarta krāsu vērtne</t>
  </si>
  <si>
    <t>Durvju bloku montāža D-3 PVC (970x2130 - 1 gab.)</t>
  </si>
  <si>
    <t>Divvērtņu durvju bloku montāža DV-3 PVC (1370x2130 ar virslogu 1370x450 ar siltumizolāciju - 1 gab.)</t>
  </si>
  <si>
    <t>Logu bloku montāža (logu specifikāciju un prasības skat. Lapā AR-11)</t>
  </si>
  <si>
    <t>1. Logu specifikāciju un prasības skat. Lapā AR-11</t>
  </si>
  <si>
    <t>2. Durvju specifikāciju un prasības skat. Lapā AR-4</t>
  </si>
  <si>
    <t>3. UGUNSDROŠĀS DURVIS UD UN ĀRDURVIS NOBLĪVĒT PIEDURĀS UN APRĪKOT AR PAŠAIZVĒRŠANĀS MEHĀNISMIEM.</t>
  </si>
  <si>
    <t>DIVVĒRTŅU UGUNSDROŠAJĀM DURVĪM UZSTĀDĪT AIZVĒRŠANĀS SECĪBU REGULĒJOŠAS  IERĪCES  (DURVJU VĒRŠANĀS KOORDINĀTORUS).</t>
  </si>
  <si>
    <t>4. DURVIS, KAS VERAS UZ EVAKUĀCIJAS CEĻIEM UN IZEJĀM, APZĪMĒT AR DROŠĪBAS ZĪMĒM UN JEBKURĀ BRĪDĪ IR ATVERAMAS NO IEKŠPUSES.</t>
  </si>
  <si>
    <t>5. VĒRTŅU FURNITŪRU UN DURVJU SLĒDZEŅU TIPU PRECIZĒT AR PASŪTĪTĀJU.</t>
  </si>
  <si>
    <t>6. Durvis aprīkot ar atdurēm.</t>
  </si>
  <si>
    <t>2-5</t>
  </si>
  <si>
    <t>11-5</t>
  </si>
  <si>
    <t>11-6</t>
  </si>
  <si>
    <t>11-7</t>
  </si>
  <si>
    <t>11-8</t>
  </si>
  <si>
    <t>11-9</t>
  </si>
  <si>
    <t>11-10</t>
  </si>
  <si>
    <t>11-11</t>
  </si>
  <si>
    <t>14-4</t>
  </si>
  <si>
    <t>14-5</t>
  </si>
  <si>
    <t>1-5</t>
  </si>
  <si>
    <t>1-6</t>
  </si>
  <si>
    <t>1-7</t>
  </si>
  <si>
    <t>1-8</t>
  </si>
  <si>
    <t>1-9</t>
  </si>
  <si>
    <t>1-10</t>
  </si>
  <si>
    <t>1-11</t>
  </si>
  <si>
    <t>1-12</t>
  </si>
  <si>
    <t>1-13</t>
  </si>
  <si>
    <t>16-4</t>
  </si>
  <si>
    <t>Grīdu siltumizolācija ∆100 mm (sk. Tāmes 1-5 102,30m2)</t>
  </si>
  <si>
    <t>27-2</t>
  </si>
  <si>
    <t>33-2</t>
  </si>
  <si>
    <t>34-1</t>
  </si>
  <si>
    <t>34-2</t>
  </si>
  <si>
    <t>34-3</t>
  </si>
  <si>
    <t>35-1</t>
  </si>
  <si>
    <t>35-2</t>
  </si>
  <si>
    <t>35-3</t>
  </si>
  <si>
    <t>35-4</t>
  </si>
  <si>
    <t>36-1</t>
  </si>
  <si>
    <t>36-2</t>
  </si>
  <si>
    <t>36-3</t>
  </si>
  <si>
    <t>36-4</t>
  </si>
  <si>
    <t>Dūmenis (Beril vai analogs)</t>
  </si>
  <si>
    <t>ST (Elektroietaišu ierīkošanas Tehniskie noteikumi Nr. 117568176)</t>
  </si>
  <si>
    <t xml:space="preserve">Ierakuma izbūve, tai skaitā auglīgās augsnes norakšana, h vid.=26 cm </t>
  </si>
  <si>
    <t>Dīķa rakšana (2 gab.)</t>
  </si>
  <si>
    <t>Apsardzes ēkas (konteinertipa 2,4 x 3,3 x 2,9) izgatavošana, piegāde un uzstādīšana, t.sk. pamatnes izbūve. Sastāvs :                                                  Ārējā apdare: koka apšūvums (Apdares dēlis PUMERKI 21mm ,ēvelēts/fasādē gludi zāgēts), Iekšējā apdare : 12mm gaiša koka laminēta skaidu plāksne; Jumts : SBS,4,1 kg/m²,polyester 150g/m2, kārta+2 kārtas apakšklājs 0,5m; Grīda : 2mm MarleyflorPlusPU ,homogēns; Logi : PVC Balts 1140 x1180(H) verami atgāžami 2gab.; Durvis : 800x2050(h) ,1gab, siltinātas 50mm Tērauda ; Ventilācija un elektroinstalācija ar elektroapkures</t>
  </si>
  <si>
    <t>37-1</t>
  </si>
  <si>
    <t>38-1</t>
  </si>
  <si>
    <t>38-2</t>
  </si>
  <si>
    <t>38-3</t>
  </si>
  <si>
    <t>38-4</t>
  </si>
  <si>
    <t>39-1</t>
  </si>
  <si>
    <t>41-1</t>
  </si>
  <si>
    <t>43-1</t>
  </si>
  <si>
    <t>45-1</t>
  </si>
  <si>
    <t>48-1</t>
  </si>
  <si>
    <t>49-1</t>
  </si>
  <si>
    <t>50-1</t>
  </si>
  <si>
    <t>51-1</t>
  </si>
  <si>
    <t>52-1</t>
  </si>
  <si>
    <t>53-1</t>
  </si>
  <si>
    <t>54-1</t>
  </si>
  <si>
    <t>54-2</t>
  </si>
  <si>
    <t>54-3</t>
  </si>
  <si>
    <t>55-1</t>
  </si>
  <si>
    <t>55-2</t>
  </si>
  <si>
    <t>55-3</t>
  </si>
  <si>
    <t>56-1</t>
  </si>
  <si>
    <t>56-2</t>
  </si>
  <si>
    <t>56-3</t>
  </si>
  <si>
    <t>57-1</t>
  </si>
  <si>
    <t>57-2</t>
  </si>
  <si>
    <t>57-3</t>
  </si>
  <si>
    <t>58-1</t>
  </si>
  <si>
    <t>58-2</t>
  </si>
  <si>
    <t>58-3</t>
  </si>
  <si>
    <t>59-1</t>
  </si>
  <si>
    <t>59-2</t>
  </si>
  <si>
    <t>59-3</t>
  </si>
  <si>
    <t>60-1</t>
  </si>
  <si>
    <t>60-2</t>
  </si>
  <si>
    <t>60-3</t>
  </si>
  <si>
    <t>61-1</t>
  </si>
  <si>
    <t>61-2</t>
  </si>
  <si>
    <t>61-3</t>
  </si>
  <si>
    <t>62-1</t>
  </si>
  <si>
    <t>62-2</t>
  </si>
  <si>
    <t>62-3</t>
  </si>
  <si>
    <t>Autotransporta automātiskā barjera ar strēli L=7m (vadība no pults sarga ēkā)</t>
  </si>
  <si>
    <t>Metāla gājēju vārtiņi ar slēdzeni 1m platumā, h=1,5m</t>
  </si>
  <si>
    <t>Transporta izdevumi___% no materiālu vērtības</t>
  </si>
  <si>
    <t>Virsuzdevumi, t.sk.darba aizsardzība ___%</t>
  </si>
  <si>
    <t>Plānotā peļņā ____%</t>
  </si>
  <si>
    <t>Tiešās izmaksas kopā, t.sk. darba devēja sociālais nodoklis (%)</t>
  </si>
  <si>
    <t>Pagaidu nožogojuma īre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</si>
</sst>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Ls&quot;\ * #,##0.00_-;\-&quot;Ls&quot;\ * #,##0.00_-;_-&quot;Ls&quot;\ * &quot;-&quot;??_-;_-@_-"/>
    <numFmt numFmtId="43" formatCode="_-* #,##0.00_-;\-* #,##0.00_-;_-* &quot;-&quot;??_-;_-@_-"/>
    <numFmt numFmtId="164" formatCode="0.0"/>
    <numFmt numFmtId="165" formatCode="0.000"/>
    <numFmt numFmtId="166" formatCode="0.0000"/>
    <numFmt numFmtId="167" formatCode="#,##0.00\ [$€-40C]"/>
    <numFmt numFmtId="168" formatCode="#,##0\ [$€-1];[Red]\-#,##0\ [$€-1]"/>
    <numFmt numFmtId="169" formatCode="_-* #,##0.000_-;\-* #,##0.000_-;_-* &quot;-&quot;??_-;_-@_-"/>
  </numFmts>
  <fonts count="6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204"/>
      <scheme val="minor"/>
    </font>
    <font>
      <sz val="11"/>
      <color theme="1"/>
      <name val="Calibri"/>
      <family val="2"/>
      <charset val="186"/>
      <scheme val="minor"/>
    </font>
    <font>
      <sz val="11"/>
      <name val="Arial"/>
      <family val="2"/>
      <charset val="204"/>
    </font>
    <font>
      <sz val="10"/>
      <name val="Arial"/>
      <family val="2"/>
      <charset val="204"/>
    </font>
    <font>
      <b/>
      <sz val="10"/>
      <name val="Arial"/>
      <family val="2"/>
      <charset val="204"/>
    </font>
    <font>
      <sz val="9"/>
      <name val="Arial"/>
      <family val="2"/>
      <charset val="204"/>
    </font>
    <font>
      <b/>
      <i/>
      <sz val="8"/>
      <name val="Arial"/>
      <family val="2"/>
      <charset val="204"/>
    </font>
    <font>
      <sz val="9"/>
      <name val="Arial Baltic"/>
      <family val="2"/>
      <charset val="186"/>
    </font>
    <font>
      <sz val="10"/>
      <name val="Helv"/>
    </font>
    <font>
      <b/>
      <sz val="8"/>
      <name val="Arial"/>
      <family val="2"/>
      <charset val="204"/>
    </font>
    <font>
      <sz val="9"/>
      <color indexed="10"/>
      <name val="Arial"/>
      <family val="2"/>
      <charset val="204"/>
    </font>
    <font>
      <b/>
      <i/>
      <sz val="10"/>
      <name val="Arial"/>
      <family val="2"/>
      <charset val="204"/>
    </font>
    <font>
      <b/>
      <sz val="9"/>
      <name val="Arial"/>
      <family val="2"/>
      <charset val="204"/>
    </font>
    <font>
      <i/>
      <sz val="9"/>
      <name val="Arial Baltic"/>
      <charset val="204"/>
    </font>
    <font>
      <i/>
      <sz val="9"/>
      <name val="Arial"/>
      <family val="2"/>
      <charset val="204"/>
    </font>
    <font>
      <sz val="8"/>
      <name val="Arial"/>
      <family val="2"/>
      <charset val="204"/>
    </font>
    <font>
      <sz val="10"/>
      <color indexed="9"/>
      <name val="Arial"/>
      <family val="2"/>
      <charset val="204"/>
    </font>
    <font>
      <sz val="11"/>
      <color indexed="9"/>
      <name val="Arial"/>
      <family val="2"/>
      <charset val="204"/>
    </font>
    <font>
      <sz val="10"/>
      <color indexed="9"/>
      <name val="Arial"/>
      <family val="2"/>
      <charset val="204"/>
    </font>
    <font>
      <sz val="10"/>
      <name val="Arial"/>
      <family val="2"/>
      <charset val="204"/>
    </font>
    <font>
      <b/>
      <i/>
      <sz val="11"/>
      <name val="Arial"/>
      <family val="2"/>
      <charset val="204"/>
    </font>
    <font>
      <sz val="11"/>
      <color theme="1"/>
      <name val="Calibri"/>
      <family val="2"/>
      <charset val="186"/>
      <scheme val="minor"/>
    </font>
    <font>
      <sz val="9"/>
      <color rgb="FFFF0000"/>
      <name val="Arial"/>
      <family val="2"/>
      <charset val="204"/>
    </font>
    <font>
      <b/>
      <i/>
      <sz val="9"/>
      <name val="Arial"/>
      <family val="2"/>
      <charset val="204"/>
    </font>
    <font>
      <sz val="9"/>
      <color indexed="8"/>
      <name val="Arial"/>
      <family val="2"/>
      <charset val="204"/>
    </font>
    <font>
      <vertAlign val="superscript"/>
      <sz val="9"/>
      <name val="Arial"/>
      <family val="2"/>
      <charset val="204"/>
    </font>
    <font>
      <b/>
      <sz val="12"/>
      <name val="Arial"/>
      <family val="2"/>
      <charset val="204"/>
    </font>
    <font>
      <sz val="12"/>
      <name val="Arial"/>
      <family val="2"/>
      <charset val="204"/>
    </font>
    <font>
      <sz val="11"/>
      <color indexed="8"/>
      <name val="Arial"/>
      <family val="2"/>
      <charset val="204"/>
    </font>
    <font>
      <sz val="7"/>
      <name val="Arial"/>
      <family val="2"/>
      <charset val="204"/>
    </font>
    <font>
      <b/>
      <sz val="7"/>
      <name val="Arial"/>
      <family val="2"/>
      <charset val="204"/>
    </font>
    <font>
      <sz val="10"/>
      <name val="Arial"/>
      <family val="2"/>
      <charset val="186"/>
    </font>
    <font>
      <sz val="11"/>
      <color rgb="FF006100"/>
      <name val="Calibri"/>
      <family val="2"/>
      <charset val="204"/>
      <scheme val="minor"/>
    </font>
    <font>
      <sz val="11"/>
      <color indexed="55"/>
      <name val="Arial"/>
      <family val="2"/>
      <charset val="204"/>
    </font>
    <font>
      <sz val="11"/>
      <color indexed="8"/>
      <name val="Calibri"/>
      <family val="2"/>
      <charset val="186"/>
    </font>
    <font>
      <sz val="10"/>
      <name val="Mangal"/>
      <family val="2"/>
      <charset val="204"/>
    </font>
    <font>
      <sz val="11"/>
      <color theme="0"/>
      <name val="Arial"/>
      <family val="2"/>
      <charset val="204"/>
    </font>
    <font>
      <sz val="10"/>
      <color theme="0"/>
      <name val="Arial"/>
      <family val="2"/>
      <charset val="204"/>
    </font>
    <font>
      <i/>
      <u/>
      <sz val="8"/>
      <name val="Arial"/>
      <family val="2"/>
      <charset val="204"/>
    </font>
    <font>
      <sz val="9"/>
      <name val="Arial"/>
      <family val="2"/>
      <charset val="186"/>
    </font>
    <font>
      <sz val="11"/>
      <name val="Arial"/>
      <family val="2"/>
      <charset val="186"/>
    </font>
    <font>
      <i/>
      <sz val="9"/>
      <name val="Arial"/>
      <family val="2"/>
      <charset val="186"/>
    </font>
    <font>
      <b/>
      <u/>
      <sz val="10"/>
      <name val="Arial"/>
      <family val="2"/>
      <charset val="204"/>
    </font>
    <font>
      <b/>
      <sz val="14"/>
      <name val="Arial"/>
      <family val="2"/>
      <charset val="204"/>
    </font>
    <font>
      <i/>
      <sz val="9"/>
      <name val="Arial Baltic"/>
      <family val="2"/>
      <charset val="186"/>
    </font>
    <font>
      <sz val="9"/>
      <name val="Arial"/>
      <family val="2"/>
    </font>
    <font>
      <b/>
      <sz val="9"/>
      <name val="Arial"/>
      <family val="2"/>
    </font>
    <font>
      <vertAlign val="subscript"/>
      <sz val="9"/>
      <name val="Arial"/>
      <family val="2"/>
    </font>
    <font>
      <sz val="9"/>
      <color theme="1"/>
      <name val="Arial"/>
      <family val="2"/>
      <charset val="204"/>
    </font>
    <font>
      <vertAlign val="subscript"/>
      <sz val="9"/>
      <color theme="1"/>
      <name val="Arial"/>
      <family val="2"/>
      <charset val="204"/>
    </font>
    <font>
      <sz val="9"/>
      <color indexed="81"/>
      <name val="Tahoma"/>
      <family val="2"/>
    </font>
    <font>
      <b/>
      <sz val="9"/>
      <color indexed="81"/>
      <name val="Tahoma"/>
      <family val="2"/>
    </font>
    <font>
      <b/>
      <sz val="10"/>
      <name val="Arial"/>
      <family val="2"/>
    </font>
    <font>
      <sz val="9"/>
      <color indexed="9"/>
      <name val="Arial"/>
      <family val="2"/>
      <charset val="204"/>
    </font>
    <font>
      <sz val="10"/>
      <name val="Arial"/>
      <family val="2"/>
    </font>
    <font>
      <b/>
      <sz val="9"/>
      <name val="Arial"/>
      <family val="2"/>
      <charset val="186"/>
    </font>
    <font>
      <sz val="11"/>
      <name val="Arial"/>
      <family val="2"/>
    </font>
    <font>
      <sz val="8"/>
      <name val="Arial"/>
      <family val="2"/>
    </font>
  </fonts>
  <fills count="4">
    <fill>
      <patternFill patternType="none"/>
    </fill>
    <fill>
      <patternFill patternType="gray125"/>
    </fill>
    <fill>
      <patternFill patternType="solid">
        <fgColor indexed="9"/>
        <bgColor indexed="64"/>
      </patternFill>
    </fill>
    <fill>
      <patternFill patternType="solid">
        <fgColor rgb="FFC6EFCE"/>
      </patternFill>
    </fill>
  </fills>
  <borders count="76">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medium">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medium">
        <color indexed="64"/>
      </bottom>
      <diagonal/>
    </border>
  </borders>
  <cellStyleXfs count="36">
    <xf numFmtId="0" fontId="0" fillId="0" borderId="0"/>
    <xf numFmtId="0" fontId="22" fillId="0" borderId="0"/>
    <xf numFmtId="0" fontId="6" fillId="0" borderId="0"/>
    <xf numFmtId="0" fontId="24" fillId="0" borderId="0"/>
    <xf numFmtId="0" fontId="11" fillId="0" borderId="0"/>
    <xf numFmtId="0" fontId="11" fillId="0" borderId="0"/>
    <xf numFmtId="0" fontId="6" fillId="0" borderId="0"/>
    <xf numFmtId="0" fontId="6" fillId="0" borderId="0"/>
    <xf numFmtId="0" fontId="6" fillId="0" borderId="0"/>
    <xf numFmtId="0" fontId="34" fillId="0" borderId="0">
      <alignment vertical="center" wrapText="1"/>
    </xf>
    <xf numFmtId="0" fontId="34" fillId="0" borderId="0"/>
    <xf numFmtId="0" fontId="35" fillId="3" borderId="0" applyNumberFormat="0" applyBorder="0" applyAlignment="0" applyProtection="0"/>
    <xf numFmtId="0" fontId="4" fillId="0" borderId="0"/>
    <xf numFmtId="0" fontId="37" fillId="0" borderId="0"/>
    <xf numFmtId="0" fontId="6" fillId="0" borderId="0"/>
    <xf numFmtId="9" fontId="38" fillId="0" borderId="0" applyFill="0" applyBorder="0" applyAlignment="0" applyProtection="0"/>
    <xf numFmtId="0" fontId="6" fillId="0" borderId="0"/>
    <xf numFmtId="0" fontId="3" fillId="0" borderId="0"/>
    <xf numFmtId="0" fontId="6" fillId="0" borderId="0"/>
    <xf numFmtId="0" fontId="4"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2" fillId="0" borderId="0"/>
    <xf numFmtId="0" fontId="2" fillId="0" borderId="0"/>
    <xf numFmtId="0" fontId="35" fillId="3" borderId="0" applyNumberFormat="0" applyBorder="0" applyAlignment="0" applyProtection="0"/>
    <xf numFmtId="0" fontId="2" fillId="0" borderId="0"/>
    <xf numFmtId="44" fontId="6" fillId="0" borderId="0" applyFont="0" applyFill="0" applyBorder="0" applyAlignment="0" applyProtection="0"/>
    <xf numFmtId="0" fontId="34" fillId="0" borderId="0"/>
    <xf numFmtId="0" fontId="6" fillId="0" borderId="0"/>
    <xf numFmtId="0" fontId="37" fillId="0" borderId="0"/>
    <xf numFmtId="0" fontId="6" fillId="0" borderId="0"/>
    <xf numFmtId="0" fontId="57" fillId="0" borderId="0"/>
  </cellStyleXfs>
  <cellXfs count="468">
    <xf numFmtId="0" fontId="0" fillId="0" borderId="0" xfId="0"/>
    <xf numFmtId="2" fontId="10" fillId="0" borderId="7" xfId="0" applyNumberFormat="1" applyFont="1" applyFill="1" applyBorder="1" applyAlignment="1">
      <alignment horizontal="right" vertical="center"/>
    </xf>
    <xf numFmtId="0" fontId="8" fillId="0" borderId="7" xfId="0" applyFont="1" applyFill="1" applyBorder="1" applyAlignment="1">
      <alignment vertical="center" wrapText="1"/>
    </xf>
    <xf numFmtId="0" fontId="10" fillId="0" borderId="0" xfId="0" applyNumberFormat="1" applyFont="1" applyFill="1" applyBorder="1" applyAlignment="1" applyProtection="1">
      <alignment horizontal="left" vertical="top"/>
    </xf>
    <xf numFmtId="2" fontId="8" fillId="0" borderId="7" xfId="0" applyNumberFormat="1" applyFont="1" applyFill="1" applyBorder="1" applyAlignment="1">
      <alignment vertical="center"/>
    </xf>
    <xf numFmtId="2" fontId="8" fillId="0" borderId="7" xfId="0" applyNumberFormat="1" applyFont="1" applyFill="1" applyBorder="1" applyAlignment="1"/>
    <xf numFmtId="2" fontId="8" fillId="0" borderId="16" xfId="0" applyNumberFormat="1" applyFont="1" applyFill="1" applyBorder="1" applyAlignment="1"/>
    <xf numFmtId="2" fontId="8" fillId="0" borderId="7" xfId="0" applyNumberFormat="1" applyFont="1" applyFill="1" applyBorder="1" applyAlignment="1">
      <alignment horizontal="right"/>
    </xf>
    <xf numFmtId="164" fontId="8" fillId="0" borderId="20" xfId="0" applyNumberFormat="1" applyFont="1" applyFill="1" applyBorder="1" applyAlignment="1">
      <alignment horizontal="right" vertical="center"/>
    </xf>
    <xf numFmtId="2" fontId="8" fillId="0" borderId="7" xfId="0" applyNumberFormat="1" applyFont="1" applyFill="1" applyBorder="1" applyAlignment="1">
      <alignment horizontal="right" vertical="center"/>
    </xf>
    <xf numFmtId="1" fontId="8" fillId="0" borderId="7" xfId="0" applyNumberFormat="1" applyFont="1" applyFill="1" applyBorder="1" applyAlignment="1">
      <alignment horizontal="right" vertical="center"/>
    </xf>
    <xf numFmtId="2" fontId="8" fillId="0" borderId="19" xfId="0" applyNumberFormat="1" applyFont="1" applyFill="1" applyBorder="1" applyAlignment="1">
      <alignment vertical="center"/>
    </xf>
    <xf numFmtId="1" fontId="8" fillId="0" borderId="7" xfId="0" applyNumberFormat="1" applyFont="1" applyFill="1" applyBorder="1" applyAlignment="1">
      <alignment horizontal="right"/>
    </xf>
    <xf numFmtId="0" fontId="8" fillId="0" borderId="7" xfId="0" applyFont="1" applyFill="1" applyBorder="1" applyAlignment="1">
      <alignment horizontal="center" vertical="center"/>
    </xf>
    <xf numFmtId="164" fontId="8" fillId="0" borderId="7" xfId="0" applyNumberFormat="1" applyFont="1" applyFill="1" applyBorder="1" applyAlignment="1">
      <alignment horizontal="right" vertical="center"/>
    </xf>
    <xf numFmtId="0" fontId="6" fillId="0" borderId="0" xfId="0" applyFont="1" applyFill="1"/>
    <xf numFmtId="2" fontId="8" fillId="0" borderId="7" xfId="3" applyNumberFormat="1" applyFont="1" applyFill="1" applyBorder="1" applyAlignment="1">
      <alignment vertical="center"/>
    </xf>
    <xf numFmtId="0" fontId="8" fillId="0" borderId="7" xfId="3" applyFont="1" applyFill="1" applyBorder="1" applyAlignment="1">
      <alignment horizontal="center" vertical="center"/>
    </xf>
    <xf numFmtId="0" fontId="5" fillId="0" borderId="0" xfId="0" applyFont="1" applyFill="1" applyBorder="1" applyAlignment="1"/>
    <xf numFmtId="49" fontId="8" fillId="0" borderId="6" xfId="0" applyNumberFormat="1" applyFont="1" applyFill="1" applyBorder="1" applyAlignment="1">
      <alignment horizontal="center" vertical="center"/>
    </xf>
    <xf numFmtId="2" fontId="8" fillId="0" borderId="15" xfId="0" applyNumberFormat="1" applyFont="1" applyFill="1" applyBorder="1" applyAlignment="1">
      <alignment vertical="center"/>
    </xf>
    <xf numFmtId="0" fontId="17" fillId="0" borderId="7" xfId="0" applyFont="1" applyFill="1" applyBorder="1" applyAlignment="1">
      <alignment horizontal="right" vertical="center" wrapText="1"/>
    </xf>
    <xf numFmtId="0" fontId="10" fillId="0" borderId="7" xfId="0" applyFont="1" applyFill="1" applyBorder="1" applyAlignment="1">
      <alignment vertical="center" wrapText="1"/>
    </xf>
    <xf numFmtId="0" fontId="6" fillId="0" borderId="0" xfId="0" applyNumberFormat="1" applyFont="1" applyFill="1" applyBorder="1" applyAlignment="1" applyProtection="1">
      <alignment vertical="top"/>
    </xf>
    <xf numFmtId="0" fontId="17" fillId="0" borderId="7"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xf numFmtId="0" fontId="5" fillId="0" borderId="0" xfId="0" applyFont="1" applyFill="1"/>
    <xf numFmtId="0" fontId="6" fillId="0" borderId="0" xfId="0" applyFont="1" applyFill="1" applyBorder="1"/>
    <xf numFmtId="0" fontId="9" fillId="0" borderId="8" xfId="0" applyNumberFormat="1" applyFont="1" applyFill="1" applyBorder="1" applyAlignment="1">
      <alignment horizontal="center"/>
    </xf>
    <xf numFmtId="0" fontId="9" fillId="0" borderId="10" xfId="0" applyNumberFormat="1" applyFont="1" applyFill="1" applyBorder="1" applyAlignment="1">
      <alignment horizontal="center"/>
    </xf>
    <xf numFmtId="0" fontId="9" fillId="0" borderId="9" xfId="0" applyNumberFormat="1" applyFont="1" applyFill="1" applyBorder="1" applyAlignment="1">
      <alignment horizontal="center"/>
    </xf>
    <xf numFmtId="0" fontId="9" fillId="0" borderId="11" xfId="0" applyNumberFormat="1" applyFont="1" applyFill="1" applyBorder="1" applyAlignment="1">
      <alignment horizontal="center"/>
    </xf>
    <xf numFmtId="2" fontId="8" fillId="0" borderId="16" xfId="0" applyNumberFormat="1" applyFont="1" applyFill="1" applyBorder="1" applyAlignment="1">
      <alignment vertical="center"/>
    </xf>
    <xf numFmtId="2" fontId="13" fillId="0" borderId="7" xfId="0" applyNumberFormat="1" applyFont="1" applyFill="1" applyBorder="1" applyAlignment="1">
      <alignment vertical="center"/>
    </xf>
    <xf numFmtId="0" fontId="10" fillId="0" borderId="7" xfId="0" applyFont="1" applyFill="1" applyBorder="1" applyAlignment="1">
      <alignment horizontal="center" vertical="center"/>
    </xf>
    <xf numFmtId="2" fontId="13" fillId="0" borderId="16" xfId="0" applyNumberFormat="1" applyFont="1" applyFill="1" applyBorder="1" applyAlignment="1">
      <alignment vertical="center"/>
    </xf>
    <xf numFmtId="2" fontId="20" fillId="0" borderId="0" xfId="0" applyNumberFormat="1" applyFont="1" applyFill="1" applyBorder="1"/>
    <xf numFmtId="0" fontId="0" fillId="0" borderId="0" xfId="0" applyFill="1"/>
    <xf numFmtId="0" fontId="5" fillId="0" borderId="8" xfId="0" applyFont="1" applyFill="1" applyBorder="1"/>
    <xf numFmtId="2" fontId="8" fillId="0" borderId="16" xfId="3" applyNumberFormat="1" applyFont="1" applyFill="1" applyBorder="1" applyAlignment="1">
      <alignment vertical="center"/>
    </xf>
    <xf numFmtId="0" fontId="5" fillId="0" borderId="0" xfId="4" applyFont="1" applyFill="1" applyBorder="1"/>
    <xf numFmtId="49" fontId="8" fillId="0" borderId="0" xfId="0" applyNumberFormat="1" applyFont="1" applyFill="1" applyBorder="1"/>
    <xf numFmtId="49" fontId="5" fillId="0" borderId="0" xfId="0" applyNumberFormat="1" applyFont="1" applyFill="1"/>
    <xf numFmtId="0" fontId="8" fillId="0" borderId="20" xfId="0" applyFont="1" applyFill="1" applyBorder="1" applyAlignment="1">
      <alignment horizontal="center" vertical="center"/>
    </xf>
    <xf numFmtId="0" fontId="7" fillId="0" borderId="0" xfId="0" applyFont="1" applyFill="1" applyBorder="1" applyAlignment="1">
      <alignment horizontal="right"/>
    </xf>
    <xf numFmtId="9" fontId="7" fillId="0" borderId="0" xfId="0" applyNumberFormat="1" applyFont="1" applyFill="1" applyBorder="1" applyAlignment="1">
      <alignment horizontal="center"/>
    </xf>
    <xf numFmtId="49" fontId="6" fillId="0" borderId="0" xfId="0" applyNumberFormat="1" applyFont="1" applyFill="1" applyBorder="1"/>
    <xf numFmtId="2" fontId="7" fillId="0" borderId="0" xfId="0" applyNumberFormat="1" applyFont="1" applyFill="1" applyBorder="1" applyAlignment="1">
      <alignment horizontal="right"/>
    </xf>
    <xf numFmtId="0" fontId="8" fillId="0" borderId="7" xfId="0" applyFont="1" applyFill="1" applyBorder="1" applyAlignment="1">
      <alignment vertical="center"/>
    </xf>
    <xf numFmtId="0" fontId="6" fillId="0" borderId="0" xfId="0" applyFont="1"/>
    <xf numFmtId="0" fontId="15" fillId="0" borderId="42" xfId="0" applyFont="1" applyBorder="1" applyAlignment="1">
      <alignment horizontal="center" vertical="center" wrapText="1"/>
    </xf>
    <xf numFmtId="0" fontId="9" fillId="0" borderId="8"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4" fontId="8" fillId="0" borderId="38" xfId="0" applyNumberFormat="1" applyFont="1" applyBorder="1" applyAlignment="1">
      <alignment horizontal="center" vertical="center"/>
    </xf>
    <xf numFmtId="4" fontId="8" fillId="0" borderId="39" xfId="0" applyNumberFormat="1" applyFont="1" applyBorder="1" applyAlignment="1">
      <alignment horizontal="center" vertical="center"/>
    </xf>
    <xf numFmtId="4" fontId="8" fillId="0" borderId="23" xfId="0" applyNumberFormat="1" applyFont="1" applyBorder="1" applyAlignment="1">
      <alignment horizontal="center"/>
    </xf>
    <xf numFmtId="4" fontId="8" fillId="0" borderId="27" xfId="0" applyNumberFormat="1" applyFont="1" applyBorder="1" applyAlignment="1">
      <alignment horizontal="center"/>
    </xf>
    <xf numFmtId="0" fontId="8" fillId="0" borderId="1" xfId="0" applyFont="1" applyBorder="1"/>
    <xf numFmtId="0" fontId="15" fillId="0" borderId="2" xfId="0" applyFont="1" applyBorder="1"/>
    <xf numFmtId="4" fontId="15" fillId="0" borderId="2" xfId="0" applyNumberFormat="1" applyFont="1" applyBorder="1" applyAlignment="1">
      <alignment horizontal="center"/>
    </xf>
    <xf numFmtId="4" fontId="15" fillId="0" borderId="3" xfId="0" applyNumberFormat="1" applyFont="1" applyBorder="1" applyAlignment="1">
      <alignment horizontal="center"/>
    </xf>
    <xf numFmtId="0" fontId="6" fillId="0" borderId="0" xfId="0" applyFont="1" applyAlignment="1"/>
    <xf numFmtId="0" fontId="27" fillId="0" borderId="0" xfId="0" applyFont="1"/>
    <xf numFmtId="0" fontId="28" fillId="0" borderId="0" xfId="6" applyFont="1" applyAlignment="1">
      <alignment horizontal="center"/>
    </xf>
    <xf numFmtId="14" fontId="26" fillId="0" borderId="0" xfId="0" applyNumberFormat="1" applyFont="1" applyFill="1" applyBorder="1" applyAlignment="1" applyProtection="1">
      <alignment vertical="center"/>
    </xf>
    <xf numFmtId="4" fontId="8" fillId="0" borderId="4" xfId="0" applyNumberFormat="1" applyFont="1" applyBorder="1" applyAlignment="1">
      <alignment horizontal="center" vertical="center"/>
    </xf>
    <xf numFmtId="4" fontId="8" fillId="0" borderId="5" xfId="0" applyNumberFormat="1" applyFont="1" applyBorder="1" applyAlignment="1">
      <alignment horizontal="center" vertical="center"/>
    </xf>
    <xf numFmtId="0" fontId="8" fillId="0" borderId="4" xfId="0" applyFont="1" applyBorder="1" applyAlignment="1"/>
    <xf numFmtId="0" fontId="15" fillId="0" borderId="1" xfId="0" applyFont="1" applyBorder="1"/>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8" fillId="0" borderId="12" xfId="0" applyFont="1" applyBorder="1"/>
    <xf numFmtId="0" fontId="15" fillId="0" borderId="13" xfId="0" applyFont="1" applyBorder="1"/>
    <xf numFmtId="4" fontId="15" fillId="0" borderId="13" xfId="0" applyNumberFormat="1" applyFont="1" applyBorder="1" applyAlignment="1">
      <alignment horizontal="center"/>
    </xf>
    <xf numFmtId="4" fontId="15" fillId="0" borderId="14" xfId="0" applyNumberFormat="1" applyFont="1" applyBorder="1" applyAlignment="1">
      <alignment horizontal="center"/>
    </xf>
    <xf numFmtId="0" fontId="8" fillId="0" borderId="2" xfId="0" applyFont="1" applyBorder="1" applyAlignment="1">
      <alignment wrapText="1"/>
    </xf>
    <xf numFmtId="0" fontId="15" fillId="0" borderId="43" xfId="0" applyFont="1" applyBorder="1"/>
    <xf numFmtId="0" fontId="15" fillId="0" borderId="44" xfId="0" applyFont="1" applyBorder="1"/>
    <xf numFmtId="4" fontId="15" fillId="0" borderId="44" xfId="0" applyNumberFormat="1" applyFont="1" applyBorder="1" applyAlignment="1">
      <alignment horizontal="center"/>
    </xf>
    <xf numFmtId="4" fontId="15" fillId="0" borderId="45" xfId="0" applyNumberFormat="1" applyFont="1" applyBorder="1" applyAlignment="1">
      <alignment horizontal="center"/>
    </xf>
    <xf numFmtId="0" fontId="15" fillId="0" borderId="12" xfId="0" applyFont="1" applyBorder="1"/>
    <xf numFmtId="0" fontId="8" fillId="0" borderId="13" xfId="0" applyFont="1" applyBorder="1"/>
    <xf numFmtId="0" fontId="8" fillId="0" borderId="46" xfId="0" applyFont="1" applyFill="1" applyBorder="1" applyAlignment="1">
      <alignment horizontal="center"/>
    </xf>
    <xf numFmtId="0" fontId="8" fillId="0" borderId="46" xfId="0" applyFont="1" applyFill="1" applyBorder="1" applyAlignment="1">
      <alignment horizontal="center" vertical="center"/>
    </xf>
    <xf numFmtId="0" fontId="8" fillId="0" borderId="47" xfId="0" applyFont="1" applyFill="1" applyBorder="1" applyAlignment="1">
      <alignment horizontal="center"/>
    </xf>
    <xf numFmtId="0" fontId="8" fillId="0" borderId="4" xfId="0" applyFont="1" applyFill="1" applyBorder="1" applyAlignment="1">
      <alignment horizontal="center"/>
    </xf>
    <xf numFmtId="4" fontId="8" fillId="0" borderId="22" xfId="0" applyNumberFormat="1" applyFont="1" applyBorder="1" applyAlignment="1">
      <alignment horizontal="center" vertical="center"/>
    </xf>
    <xf numFmtId="4" fontId="8" fillId="0" borderId="48" xfId="0" applyNumberFormat="1" applyFont="1" applyBorder="1" applyAlignment="1">
      <alignment horizontal="center"/>
    </xf>
    <xf numFmtId="0" fontId="15" fillId="0" borderId="47" xfId="0" applyFont="1" applyFill="1" applyBorder="1" applyAlignment="1">
      <alignment horizontal="center"/>
    </xf>
    <xf numFmtId="14" fontId="15" fillId="0" borderId="0" xfId="0" applyNumberFormat="1" applyFont="1" applyFill="1" applyBorder="1" applyAlignment="1" applyProtection="1">
      <alignment horizontal="left" vertical="center"/>
    </xf>
    <xf numFmtId="0" fontId="7" fillId="0" borderId="0" xfId="0" applyFont="1"/>
    <xf numFmtId="0" fontId="6" fillId="0" borderId="0" xfId="0" applyFont="1" applyAlignment="1">
      <alignment vertical="center"/>
    </xf>
    <xf numFmtId="4" fontId="7" fillId="0" borderId="0" xfId="0" applyNumberFormat="1" applyFont="1"/>
    <xf numFmtId="0" fontId="30" fillId="0" borderId="0" xfId="0" applyFont="1" applyFill="1"/>
    <xf numFmtId="2" fontId="6" fillId="0" borderId="0" xfId="0" applyNumberFormat="1" applyFont="1"/>
    <xf numFmtId="0" fontId="8" fillId="0" borderId="0" xfId="0" applyFont="1"/>
    <xf numFmtId="0" fontId="8" fillId="0" borderId="7" xfId="1" applyFont="1" applyFill="1" applyBorder="1" applyAlignment="1">
      <alignment horizontal="center" vertical="center"/>
    </xf>
    <xf numFmtId="2" fontId="8" fillId="0" borderId="7" xfId="1" applyNumberFormat="1" applyFont="1" applyFill="1" applyBorder="1" applyAlignment="1">
      <alignment horizontal="right" vertical="center"/>
    </xf>
    <xf numFmtId="0" fontId="17" fillId="0" borderId="7" xfId="3" applyFont="1" applyFill="1" applyBorder="1" applyAlignment="1">
      <alignment horizontal="right" vertical="center" wrapText="1"/>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8" fillId="0" borderId="6" xfId="0" applyFont="1" applyFill="1" applyBorder="1" applyAlignment="1">
      <alignment horizontal="center" vertical="center"/>
    </xf>
    <xf numFmtId="2" fontId="8" fillId="0" borderId="16" xfId="0" applyNumberFormat="1" applyFont="1" applyBorder="1" applyAlignment="1">
      <alignment vertical="center"/>
    </xf>
    <xf numFmtId="2" fontId="8" fillId="0" borderId="7" xfId="0" applyNumberFormat="1" applyFont="1" applyBorder="1" applyAlignment="1">
      <alignment vertical="center"/>
    </xf>
    <xf numFmtId="2" fontId="8" fillId="0" borderId="15" xfId="0" applyNumberFormat="1" applyFont="1" applyBorder="1" applyAlignment="1">
      <alignment vertical="center"/>
    </xf>
    <xf numFmtId="0" fontId="8" fillId="0" borderId="7" xfId="3" applyFont="1" applyFill="1" applyBorder="1" applyAlignment="1">
      <alignment vertical="center"/>
    </xf>
    <xf numFmtId="0" fontId="8" fillId="0" borderId="7" xfId="3" applyFont="1" applyBorder="1" applyAlignment="1">
      <alignment horizontal="center" vertical="center"/>
    </xf>
    <xf numFmtId="2" fontId="8" fillId="0" borderId="7" xfId="4" applyNumberFormat="1" applyFont="1" applyFill="1" applyBorder="1" applyAlignment="1">
      <alignment vertical="center"/>
    </xf>
    <xf numFmtId="0" fontId="6" fillId="0" borderId="0" xfId="0" applyFont="1" applyBorder="1"/>
    <xf numFmtId="0" fontId="8" fillId="0" borderId="7" xfId="3" applyFont="1" applyFill="1" applyBorder="1" applyAlignment="1">
      <alignment vertical="center" wrapText="1"/>
    </xf>
    <xf numFmtId="0" fontId="8" fillId="0" borderId="0" xfId="0" applyFont="1" applyFill="1" applyBorder="1" applyAlignment="1" applyProtection="1">
      <alignment vertical="center"/>
    </xf>
    <xf numFmtId="0" fontId="8" fillId="0" borderId="7" xfId="4" applyFont="1" applyFill="1" applyBorder="1" applyAlignment="1">
      <alignment horizontal="center" vertical="center"/>
    </xf>
    <xf numFmtId="0" fontId="6" fillId="0" borderId="0" xfId="0" applyFont="1" applyFill="1" applyAlignment="1">
      <alignment vertical="center"/>
    </xf>
    <xf numFmtId="0" fontId="17" fillId="0" borderId="7" xfId="4" applyFont="1" applyFill="1" applyBorder="1" applyAlignment="1">
      <alignment horizontal="right" vertical="center" wrapText="1"/>
    </xf>
    <xf numFmtId="0" fontId="23" fillId="0" borderId="0" xfId="0" applyNumberFormat="1" applyFont="1" applyFill="1" applyBorder="1" applyAlignment="1" applyProtection="1">
      <alignment horizontal="center" vertical="top"/>
    </xf>
    <xf numFmtId="2" fontId="8" fillId="0" borderId="7" xfId="3" applyNumberFormat="1" applyFont="1" applyFill="1" applyBorder="1" applyAlignment="1">
      <alignment horizontal="right" vertical="center"/>
    </xf>
    <xf numFmtId="0" fontId="17" fillId="0" borderId="7" xfId="3" applyFont="1" applyFill="1" applyBorder="1" applyAlignment="1">
      <alignment horizontal="right" vertical="center"/>
    </xf>
    <xf numFmtId="164" fontId="8" fillId="0" borderId="20" xfId="4" applyNumberFormat="1" applyFont="1" applyFill="1" applyBorder="1" applyAlignment="1">
      <alignment horizontal="right" vertical="center"/>
    </xf>
    <xf numFmtId="2" fontId="13" fillId="0" borderId="16" xfId="4" applyNumberFormat="1" applyFont="1" applyFill="1" applyBorder="1" applyAlignment="1">
      <alignment vertical="center"/>
    </xf>
    <xf numFmtId="0" fontId="5" fillId="0" borderId="0" xfId="4" applyFont="1" applyFill="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2" fontId="8" fillId="0" borderId="49" xfId="0" applyNumberFormat="1" applyFont="1" applyFill="1" applyBorder="1" applyAlignment="1">
      <alignment vertical="center"/>
    </xf>
    <xf numFmtId="0" fontId="8" fillId="0" borderId="7" xfId="2" applyFont="1" applyFill="1" applyBorder="1" applyAlignment="1">
      <alignment horizontal="center" vertical="center"/>
    </xf>
    <xf numFmtId="165" fontId="8" fillId="0" borderId="7" xfId="0" applyNumberFormat="1" applyFont="1" applyFill="1" applyBorder="1" applyAlignment="1">
      <alignment vertical="center"/>
    </xf>
    <xf numFmtId="2" fontId="7" fillId="0" borderId="0" xfId="0" applyNumberFormat="1" applyFont="1"/>
    <xf numFmtId="0" fontId="19" fillId="0" borderId="0" xfId="0" applyFont="1" applyFill="1" applyBorder="1"/>
    <xf numFmtId="2" fontId="8" fillId="0" borderId="18" xfId="0" applyNumberFormat="1" applyFont="1" applyFill="1" applyBorder="1" applyAlignment="1">
      <alignment horizontal="right" vertical="center"/>
    </xf>
    <xf numFmtId="0" fontId="6" fillId="0" borderId="0" xfId="0" applyFont="1" applyFill="1" applyBorder="1" applyAlignment="1">
      <alignment vertical="center"/>
    </xf>
    <xf numFmtId="2" fontId="8" fillId="0" borderId="20" xfId="0" applyNumberFormat="1" applyFont="1" applyFill="1" applyBorder="1" applyAlignment="1">
      <alignment vertical="center"/>
    </xf>
    <xf numFmtId="0" fontId="8" fillId="0" borderId="20" xfId="0" applyFont="1" applyFill="1" applyBorder="1" applyAlignment="1">
      <alignment vertical="center"/>
    </xf>
    <xf numFmtId="0" fontId="15" fillId="0" borderId="2" xfId="0" applyFont="1" applyFill="1" applyBorder="1" applyAlignment="1">
      <alignment horizontal="center"/>
    </xf>
    <xf numFmtId="0" fontId="20" fillId="0" borderId="0" xfId="0" applyFont="1" applyFill="1" applyBorder="1" applyAlignment="1">
      <alignment vertical="center"/>
    </xf>
    <xf numFmtId="2" fontId="8" fillId="0" borderId="7" xfId="0" applyNumberFormat="1" applyFont="1" applyBorder="1" applyAlignment="1">
      <alignment horizontal="right" vertical="center"/>
    </xf>
    <xf numFmtId="1" fontId="8" fillId="0" borderId="7" xfId="4" applyNumberFormat="1" applyFont="1" applyFill="1" applyBorder="1" applyAlignment="1">
      <alignment horizontal="center" vertical="center"/>
    </xf>
    <xf numFmtId="2" fontId="8" fillId="0" borderId="7" xfId="4" applyNumberFormat="1" applyFont="1" applyFill="1" applyBorder="1" applyAlignment="1">
      <alignment horizontal="right" vertical="center"/>
    </xf>
    <xf numFmtId="2" fontId="8" fillId="0" borderId="18" xfId="4" applyNumberFormat="1" applyFont="1" applyFill="1" applyBorder="1" applyAlignment="1">
      <alignment vertical="center"/>
    </xf>
    <xf numFmtId="0" fontId="5" fillId="0" borderId="0" xfId="2" applyFont="1" applyFill="1" applyAlignment="1">
      <alignment vertical="center"/>
    </xf>
    <xf numFmtId="2" fontId="5" fillId="0" borderId="0" xfId="2" applyNumberFormat="1" applyFont="1" applyFill="1" applyAlignment="1">
      <alignment vertical="center"/>
    </xf>
    <xf numFmtId="14" fontId="15" fillId="0" borderId="0" xfId="0" applyNumberFormat="1" applyFont="1" applyFill="1" applyBorder="1" applyAlignment="1" applyProtection="1">
      <alignment vertical="center"/>
    </xf>
    <xf numFmtId="2" fontId="15" fillId="0" borderId="9" xfId="0" applyNumberFormat="1" applyFont="1" applyFill="1" applyBorder="1" applyAlignment="1">
      <alignment horizontal="right"/>
    </xf>
    <xf numFmtId="2" fontId="15" fillId="0" borderId="21" xfId="0" applyNumberFormat="1" applyFont="1" applyFill="1" applyBorder="1" applyAlignment="1">
      <alignment horizontal="right"/>
    </xf>
    <xf numFmtId="0" fontId="8" fillId="0" borderId="7" xfId="11" applyFont="1" applyFill="1" applyBorder="1" applyAlignment="1">
      <alignment horizontal="left" vertical="center"/>
    </xf>
    <xf numFmtId="0" fontId="8" fillId="0" borderId="52" xfId="0" applyFont="1" applyFill="1" applyBorder="1" applyAlignment="1">
      <alignment horizontal="center"/>
    </xf>
    <xf numFmtId="2" fontId="8" fillId="0" borderId="0" xfId="0" applyNumberFormat="1" applyFont="1" applyFill="1" applyBorder="1" applyAlignment="1">
      <alignment vertical="center"/>
    </xf>
    <xf numFmtId="2" fontId="8" fillId="0" borderId="7" xfId="3" applyNumberFormat="1" applyFont="1" applyFill="1" applyBorder="1" applyAlignment="1" applyProtection="1">
      <alignment vertical="center"/>
    </xf>
    <xf numFmtId="2" fontId="25" fillId="0" borderId="7" xfId="0" applyNumberFormat="1" applyFont="1" applyFill="1" applyBorder="1" applyAlignment="1">
      <alignment vertical="center"/>
    </xf>
    <xf numFmtId="0" fontId="8" fillId="0" borderId="23" xfId="0" applyFont="1" applyFill="1" applyBorder="1" applyAlignment="1">
      <alignment vertical="center" wrapText="1"/>
    </xf>
    <xf numFmtId="2" fontId="8" fillId="0" borderId="18" xfId="0" applyNumberFormat="1" applyFont="1" applyFill="1" applyBorder="1" applyAlignment="1">
      <alignment vertical="center"/>
    </xf>
    <xf numFmtId="0" fontId="16" fillId="0" borderId="7" xfId="0" applyFont="1" applyFill="1" applyBorder="1" applyAlignment="1">
      <alignment horizontal="right" vertical="center" wrapText="1"/>
    </xf>
    <xf numFmtId="1" fontId="8" fillId="0" borderId="7" xfId="0" applyNumberFormat="1" applyFont="1" applyBorder="1" applyAlignment="1">
      <alignment horizontal="right" vertical="center"/>
    </xf>
    <xf numFmtId="2" fontId="8" fillId="0" borderId="0" xfId="0" applyNumberFormat="1" applyFont="1" applyBorder="1" applyAlignment="1">
      <alignment vertical="center"/>
    </xf>
    <xf numFmtId="0" fontId="6" fillId="0" borderId="0" xfId="0" applyFont="1" applyBorder="1" applyAlignment="1">
      <alignment vertical="center"/>
    </xf>
    <xf numFmtId="0" fontId="8" fillId="0" borderId="7" xfId="4" applyFont="1" applyFill="1" applyBorder="1" applyAlignment="1">
      <alignment vertical="center" wrapText="1"/>
    </xf>
    <xf numFmtId="2" fontId="5" fillId="0" borderId="0" xfId="4" applyNumberFormat="1" applyFont="1" applyFill="1" applyBorder="1" applyAlignment="1">
      <alignment vertical="center"/>
    </xf>
    <xf numFmtId="2" fontId="8" fillId="0" borderId="16" xfId="4" applyNumberFormat="1" applyFont="1" applyFill="1" applyBorder="1" applyAlignment="1">
      <alignment vertical="center"/>
    </xf>
    <xf numFmtId="166" fontId="8" fillId="0" borderId="7" xfId="0" applyNumberFormat="1" applyFont="1" applyFill="1" applyBorder="1" applyAlignment="1">
      <alignment horizontal="right" vertical="center"/>
    </xf>
    <xf numFmtId="0" fontId="39" fillId="0" borderId="0" xfId="4" applyFont="1" applyFill="1" applyBorder="1" applyAlignment="1">
      <alignment vertical="center"/>
    </xf>
    <xf numFmtId="0" fontId="40" fillId="0" borderId="0" xfId="4" applyFont="1" applyFill="1" applyBorder="1" applyAlignment="1">
      <alignment vertical="center"/>
    </xf>
    <xf numFmtId="0" fontId="19" fillId="0" borderId="0" xfId="0" applyFont="1" applyFill="1" applyBorder="1" applyAlignment="1">
      <alignment vertical="center"/>
    </xf>
    <xf numFmtId="0" fontId="15" fillId="0" borderId="4" xfId="0" applyFont="1" applyFill="1" applyBorder="1" applyAlignment="1">
      <alignment horizontal="center" wrapText="1"/>
    </xf>
    <xf numFmtId="4" fontId="8" fillId="0" borderId="23" xfId="18" applyNumberFormat="1" applyFont="1" applyBorder="1" applyAlignment="1">
      <alignment horizontal="center"/>
    </xf>
    <xf numFmtId="4" fontId="8" fillId="0" borderId="27" xfId="18" applyNumberFormat="1" applyFont="1" applyBorder="1" applyAlignment="1">
      <alignment horizontal="center"/>
    </xf>
    <xf numFmtId="4" fontId="8" fillId="0" borderId="54" xfId="0" applyNumberFormat="1" applyFont="1" applyBorder="1" applyAlignment="1">
      <alignment horizontal="center" vertical="center"/>
    </xf>
    <xf numFmtId="0" fontId="14" fillId="0" borderId="0" xfId="0" applyFont="1" applyFill="1" applyAlignment="1">
      <alignment horizontal="center"/>
    </xf>
    <xf numFmtId="2" fontId="20" fillId="0" borderId="0" xfId="0" applyNumberFormat="1" applyFont="1" applyFill="1" applyBorder="1" applyAlignment="1">
      <alignment vertical="center"/>
    </xf>
    <xf numFmtId="0" fontId="8" fillId="0" borderId="19" xfId="0" applyFont="1" applyFill="1" applyBorder="1" applyAlignment="1">
      <alignment vertical="center"/>
    </xf>
    <xf numFmtId="0" fontId="8" fillId="0" borderId="0" xfId="0" applyNumberFormat="1" applyFont="1" applyFill="1" applyBorder="1" applyAlignment="1" applyProtection="1">
      <alignment horizontal="left" vertical="center"/>
    </xf>
    <xf numFmtId="0" fontId="8" fillId="0" borderId="19" xfId="0" applyFont="1" applyFill="1" applyBorder="1" applyAlignment="1">
      <alignment vertical="center" wrapText="1"/>
    </xf>
    <xf numFmtId="0" fontId="8" fillId="0" borderId="7" xfId="4" applyFont="1" applyFill="1" applyBorder="1" applyAlignment="1">
      <alignment vertical="center"/>
    </xf>
    <xf numFmtId="1" fontId="8" fillId="0" borderId="7" xfId="4" applyNumberFormat="1" applyFont="1" applyFill="1" applyBorder="1" applyAlignment="1">
      <alignment horizontal="right" vertical="center"/>
    </xf>
    <xf numFmtId="2" fontId="20" fillId="0" borderId="0" xfId="0" applyNumberFormat="1" applyFont="1" applyFill="1" applyAlignment="1">
      <alignment vertical="center"/>
    </xf>
    <xf numFmtId="0" fontId="23" fillId="0" borderId="0" xfId="0" applyNumberFormat="1" applyFont="1" applyFill="1" applyBorder="1" applyAlignment="1" applyProtection="1">
      <alignment horizontal="center" vertical="center"/>
    </xf>
    <xf numFmtId="2" fontId="19" fillId="0" borderId="0" xfId="0" applyNumberFormat="1" applyFont="1" applyFill="1" applyAlignment="1">
      <alignment vertical="center"/>
    </xf>
    <xf numFmtId="2" fontId="19" fillId="0" borderId="0" xfId="0" applyNumberFormat="1" applyFont="1" applyFill="1" applyBorder="1" applyAlignment="1">
      <alignment vertical="center"/>
    </xf>
    <xf numFmtId="0" fontId="15" fillId="0" borderId="19" xfId="0" applyFont="1" applyFill="1" applyBorder="1" applyAlignment="1">
      <alignment horizontal="center" vertical="center" wrapText="1"/>
    </xf>
    <xf numFmtId="0" fontId="5" fillId="0" borderId="8" xfId="0" applyFont="1" applyFill="1" applyBorder="1" applyAlignment="1">
      <alignment vertical="center"/>
    </xf>
    <xf numFmtId="2" fontId="15" fillId="0" borderId="9" xfId="0" applyNumberFormat="1" applyFont="1" applyFill="1" applyBorder="1" applyAlignment="1">
      <alignment horizontal="right" vertical="center"/>
    </xf>
    <xf numFmtId="2" fontId="15" fillId="0" borderId="21" xfId="0" applyNumberFormat="1" applyFont="1" applyFill="1" applyBorder="1" applyAlignment="1">
      <alignment horizontal="right" vertical="center"/>
    </xf>
    <xf numFmtId="0" fontId="27" fillId="0" borderId="0" xfId="0" applyFont="1" applyAlignment="1">
      <alignment vertical="center"/>
    </xf>
    <xf numFmtId="0" fontId="42" fillId="0" borderId="7" xfId="0" applyFont="1" applyFill="1" applyBorder="1" applyAlignment="1">
      <alignment vertical="center" wrapText="1"/>
    </xf>
    <xf numFmtId="2" fontId="42" fillId="0" borderId="7" xfId="0" applyNumberFormat="1" applyFont="1" applyFill="1" applyBorder="1" applyAlignment="1">
      <alignment horizontal="right" vertical="center"/>
    </xf>
    <xf numFmtId="2" fontId="42" fillId="0" borderId="16" xfId="0" applyNumberFormat="1" applyFont="1" applyFill="1" applyBorder="1" applyAlignment="1">
      <alignment vertical="center"/>
    </xf>
    <xf numFmtId="2" fontId="42" fillId="0" borderId="7" xfId="0" applyNumberFormat="1" applyFont="1" applyFill="1" applyBorder="1" applyAlignment="1">
      <alignment vertical="center"/>
    </xf>
    <xf numFmtId="0" fontId="34" fillId="0" borderId="0" xfId="0" applyFont="1" applyFill="1" applyAlignment="1">
      <alignment vertical="center"/>
    </xf>
    <xf numFmtId="0" fontId="43" fillId="0" borderId="0" xfId="0" applyFont="1" applyFill="1" applyBorder="1" applyAlignment="1">
      <alignment vertical="center"/>
    </xf>
    <xf numFmtId="0" fontId="44" fillId="0" borderId="7" xfId="0" applyFont="1" applyFill="1" applyBorder="1" applyAlignment="1">
      <alignment horizontal="right" vertical="center"/>
    </xf>
    <xf numFmtId="2" fontId="21" fillId="0" borderId="0" xfId="0" applyNumberFormat="1" applyFont="1" applyFill="1" applyAlignment="1">
      <alignment vertical="center"/>
    </xf>
    <xf numFmtId="2" fontId="21" fillId="0" borderId="0" xfId="0" applyNumberFormat="1" applyFont="1" applyFill="1" applyBorder="1" applyAlignment="1">
      <alignment vertical="center"/>
    </xf>
    <xf numFmtId="0" fontId="8" fillId="0" borderId="7" xfId="2" applyFont="1" applyFill="1" applyBorder="1" applyAlignment="1">
      <alignment vertical="center"/>
    </xf>
    <xf numFmtId="0" fontId="5" fillId="0" borderId="0" xfId="2" applyFont="1" applyFill="1" applyBorder="1" applyAlignment="1">
      <alignment vertical="center"/>
    </xf>
    <xf numFmtId="0" fontId="6" fillId="0" borderId="0" xfId="2" applyNumberFormat="1" applyFont="1" applyFill="1" applyBorder="1" applyAlignment="1" applyProtection="1">
      <alignment vertical="center"/>
    </xf>
    <xf numFmtId="0" fontId="0" fillId="0" borderId="0" xfId="0" applyFill="1" applyAlignment="1">
      <alignment vertical="center"/>
    </xf>
    <xf numFmtId="0" fontId="6" fillId="0" borderId="0" xfId="0" applyNumberFormat="1" applyFont="1" applyFill="1" applyBorder="1" applyAlignment="1" applyProtection="1">
      <alignment vertical="center"/>
    </xf>
    <xf numFmtId="2" fontId="6"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left" vertical="center"/>
    </xf>
    <xf numFmtId="49" fontId="8" fillId="0" borderId="0" xfId="0" applyNumberFormat="1" applyFont="1" applyFill="1" applyBorder="1" applyAlignment="1">
      <alignment horizontal="right" vertical="center"/>
    </xf>
    <xf numFmtId="0" fontId="9" fillId="0" borderId="51" xfId="0" applyNumberFormat="1" applyFont="1" applyFill="1" applyBorder="1" applyAlignment="1">
      <alignment horizontal="center" vertical="center"/>
    </xf>
    <xf numFmtId="0" fontId="17" fillId="0" borderId="7" xfId="4" applyFont="1" applyFill="1" applyBorder="1" applyAlignment="1">
      <alignment horizontal="right" vertical="center"/>
    </xf>
    <xf numFmtId="1" fontId="8" fillId="0" borderId="7" xfId="3" applyNumberFormat="1" applyFont="1" applyFill="1" applyBorder="1" applyAlignment="1">
      <alignment horizontal="center" vertical="center"/>
    </xf>
    <xf numFmtId="0" fontId="36" fillId="0" borderId="0" xfId="0" applyFont="1" applyFill="1" applyBorder="1" applyAlignment="1">
      <alignment vertical="center"/>
    </xf>
    <xf numFmtId="0" fontId="20" fillId="0" borderId="0" xfId="4" applyFont="1" applyFill="1" applyBorder="1" applyAlignment="1">
      <alignment vertical="center"/>
    </xf>
    <xf numFmtId="0" fontId="31" fillId="0" borderId="0" xfId="0" applyFont="1" applyFill="1" applyAlignment="1">
      <alignment vertical="center"/>
    </xf>
    <xf numFmtId="0" fontId="8" fillId="0" borderId="55" xfId="0" applyFont="1" applyFill="1" applyBorder="1" applyAlignment="1">
      <alignment horizontal="center"/>
    </xf>
    <xf numFmtId="4" fontId="8" fillId="0" borderId="4" xfId="0" applyNumberFormat="1" applyFont="1" applyBorder="1" applyAlignment="1">
      <alignment horizontal="center"/>
    </xf>
    <xf numFmtId="4" fontId="8" fillId="0" borderId="5" xfId="0" applyNumberFormat="1" applyFont="1" applyBorder="1" applyAlignment="1">
      <alignment horizontal="center"/>
    </xf>
    <xf numFmtId="0" fontId="8" fillId="0" borderId="13" xfId="0" applyFont="1" applyFill="1" applyBorder="1" applyAlignment="1"/>
    <xf numFmtId="4" fontId="8" fillId="0" borderId="23" xfId="16" applyNumberFormat="1" applyFont="1" applyBorder="1" applyAlignment="1">
      <alignment horizontal="center"/>
    </xf>
    <xf numFmtId="4" fontId="8" fillId="0" borderId="27" xfId="16" applyNumberFormat="1" applyFont="1" applyBorder="1" applyAlignment="1">
      <alignment horizontal="center"/>
    </xf>
    <xf numFmtId="0" fontId="18" fillId="0" borderId="7" xfId="0" applyFont="1" applyFill="1" applyBorder="1" applyAlignment="1">
      <alignment horizontal="center" vertical="center" wrapText="1"/>
    </xf>
    <xf numFmtId="0" fontId="8" fillId="0" borderId="7" xfId="0" applyNumberFormat="1" applyFont="1" applyFill="1" applyBorder="1" applyAlignment="1">
      <alignment horizontal="right" vertical="center"/>
    </xf>
    <xf numFmtId="0" fontId="8" fillId="0" borderId="56" xfId="0" applyFont="1" applyFill="1" applyBorder="1" applyAlignment="1">
      <alignment vertical="center" wrapText="1"/>
    </xf>
    <xf numFmtId="0" fontId="18" fillId="0" borderId="56" xfId="0" applyFont="1" applyFill="1" applyBorder="1" applyAlignment="1">
      <alignment horizontal="center" vertical="center" wrapText="1"/>
    </xf>
    <xf numFmtId="2" fontId="8" fillId="0" borderId="56" xfId="0" applyNumberFormat="1" applyFont="1" applyFill="1" applyBorder="1" applyAlignment="1">
      <alignment vertical="center"/>
    </xf>
    <xf numFmtId="2" fontId="8" fillId="0" borderId="24" xfId="0" applyNumberFormat="1" applyFont="1" applyFill="1" applyBorder="1" applyAlignment="1">
      <alignment vertical="center"/>
    </xf>
    <xf numFmtId="0" fontId="8" fillId="0" borderId="0" xfId="0" applyFont="1" applyFill="1" applyAlignment="1">
      <alignment vertical="center"/>
    </xf>
    <xf numFmtId="0" fontId="16" fillId="0" borderId="7" xfId="0" applyFont="1" applyFill="1" applyBorder="1" applyAlignment="1">
      <alignment horizontal="right" vertical="center"/>
    </xf>
    <xf numFmtId="0" fontId="17" fillId="0" borderId="7" xfId="0" applyFont="1" applyBorder="1" applyAlignment="1">
      <alignment horizontal="right" vertical="center"/>
    </xf>
    <xf numFmtId="0" fontId="8" fillId="0" borderId="7" xfId="4" applyFont="1" applyFill="1" applyBorder="1" applyAlignment="1">
      <alignment horizontal="left" vertical="center" wrapText="1"/>
    </xf>
    <xf numFmtId="164" fontId="8" fillId="0" borderId="7" xfId="0" applyNumberFormat="1" applyFont="1" applyFill="1" applyBorder="1" applyAlignment="1">
      <alignment vertical="center"/>
    </xf>
    <xf numFmtId="0" fontId="8" fillId="0" borderId="7" xfId="2" applyFont="1" applyFill="1" applyBorder="1" applyAlignment="1">
      <alignment vertical="center" wrapText="1"/>
    </xf>
    <xf numFmtId="1" fontId="8" fillId="0" borderId="7" xfId="27" applyNumberFormat="1" applyFont="1" applyFill="1" applyBorder="1" applyAlignment="1">
      <alignment horizontal="center" vertical="center"/>
    </xf>
    <xf numFmtId="0" fontId="17" fillId="0" borderId="7" xfId="27" applyFont="1" applyFill="1" applyBorder="1" applyAlignment="1">
      <alignment horizontal="right" vertical="center"/>
    </xf>
    <xf numFmtId="2" fontId="8" fillId="0" borderId="16" xfId="27" applyNumberFormat="1" applyFont="1" applyFill="1" applyBorder="1" applyAlignment="1">
      <alignment vertical="center"/>
    </xf>
    <xf numFmtId="2" fontId="8" fillId="0" borderId="7" xfId="27" applyNumberFormat="1" applyFont="1" applyFill="1" applyBorder="1" applyAlignment="1">
      <alignment vertical="center"/>
    </xf>
    <xf numFmtId="166" fontId="8" fillId="0" borderId="7" xfId="0" applyNumberFormat="1" applyFont="1" applyFill="1" applyBorder="1" applyAlignment="1">
      <alignment vertical="center"/>
    </xf>
    <xf numFmtId="0" fontId="8" fillId="0" borderId="7" xfId="27" applyFont="1" applyFill="1" applyBorder="1" applyAlignment="1">
      <alignment vertical="center"/>
    </xf>
    <xf numFmtId="0" fontId="8" fillId="0" borderId="7" xfId="27" applyFont="1" applyFill="1" applyBorder="1" applyAlignment="1">
      <alignment horizontal="center" vertical="center"/>
    </xf>
    <xf numFmtId="164" fontId="8" fillId="0" borderId="0" xfId="0" applyNumberFormat="1" applyFont="1" applyFill="1" applyAlignment="1">
      <alignment vertical="center"/>
    </xf>
    <xf numFmtId="0" fontId="8" fillId="0" borderId="7" xfId="32" applyFont="1" applyFill="1" applyBorder="1" applyAlignment="1">
      <alignment horizontal="center" vertical="center"/>
    </xf>
    <xf numFmtId="0" fontId="8" fillId="0" borderId="7" xfId="27" applyFont="1" applyFill="1" applyBorder="1" applyAlignment="1">
      <alignment vertical="center" wrapText="1"/>
    </xf>
    <xf numFmtId="0" fontId="15"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5" fillId="0" borderId="6" xfId="27" applyNumberFormat="1" applyFont="1" applyFill="1" applyBorder="1" applyAlignment="1">
      <alignment horizontal="center" vertical="center"/>
    </xf>
    <xf numFmtId="0" fontId="15" fillId="0" borderId="7" xfId="27" applyFont="1" applyFill="1" applyBorder="1" applyAlignment="1">
      <alignment horizontal="center" vertical="center" wrapText="1"/>
    </xf>
    <xf numFmtId="0" fontId="18" fillId="0" borderId="7" xfId="27" applyFont="1" applyFill="1" applyBorder="1" applyAlignment="1">
      <alignment horizontal="center" vertical="center"/>
    </xf>
    <xf numFmtId="0" fontId="8" fillId="0" borderId="7" xfId="27" applyFont="1" applyBorder="1" applyAlignment="1">
      <alignment horizontal="center" vertical="center"/>
    </xf>
    <xf numFmtId="2" fontId="8" fillId="0" borderId="7" xfId="27" applyNumberFormat="1" applyFont="1" applyFill="1" applyBorder="1" applyAlignment="1">
      <alignment horizontal="right" vertical="center"/>
    </xf>
    <xf numFmtId="164" fontId="8" fillId="0" borderId="7" xfId="27" applyNumberFormat="1" applyFont="1" applyFill="1" applyBorder="1" applyAlignment="1">
      <alignment horizontal="right" vertical="center"/>
    </xf>
    <xf numFmtId="1" fontId="8" fillId="0" borderId="7" xfId="27" applyNumberFormat="1" applyFont="1" applyFill="1" applyBorder="1" applyAlignment="1">
      <alignment horizontal="right" vertical="center"/>
    </xf>
    <xf numFmtId="49" fontId="8" fillId="0" borderId="6" xfId="27" applyNumberFormat="1" applyFont="1" applyFill="1" applyBorder="1" applyAlignment="1">
      <alignment horizontal="center" vertical="center"/>
    </xf>
    <xf numFmtId="0" fontId="18" fillId="0" borderId="7" xfId="27" applyFont="1" applyFill="1" applyBorder="1" applyAlignment="1">
      <alignment horizontal="center" vertical="center" wrapText="1"/>
    </xf>
    <xf numFmtId="0" fontId="8" fillId="0" borderId="7" xfId="27" applyNumberFormat="1" applyFont="1" applyFill="1" applyBorder="1" applyAlignment="1">
      <alignment horizontal="right" vertical="center"/>
    </xf>
    <xf numFmtId="0" fontId="8" fillId="0" borderId="0" xfId="2" applyFont="1" applyFill="1" applyAlignment="1">
      <alignment vertical="center"/>
    </xf>
    <xf numFmtId="164" fontId="8" fillId="0" borderId="19" xfId="0" applyNumberFormat="1" applyFont="1" applyFill="1" applyBorder="1" applyAlignment="1">
      <alignment horizontal="right" vertical="center"/>
    </xf>
    <xf numFmtId="0" fontId="10" fillId="0" borderId="7" xfId="0" applyFont="1" applyFill="1" applyBorder="1" applyAlignment="1">
      <alignment vertical="center"/>
    </xf>
    <xf numFmtId="0" fontId="6" fillId="0" borderId="0" xfId="8" applyFont="1" applyFill="1" applyBorder="1" applyAlignment="1">
      <alignment vertical="center"/>
    </xf>
    <xf numFmtId="0" fontId="8" fillId="0" borderId="0" xfId="5" applyFont="1" applyFill="1" applyAlignment="1">
      <alignment vertical="center"/>
    </xf>
    <xf numFmtId="2" fontId="8" fillId="0" borderId="19" xfId="3" applyNumberFormat="1" applyFont="1" applyFill="1" applyBorder="1" applyAlignment="1">
      <alignment vertical="center"/>
    </xf>
    <xf numFmtId="164" fontId="8" fillId="0" borderId="20" xfId="3" applyNumberFormat="1" applyFont="1" applyFill="1" applyBorder="1" applyAlignment="1">
      <alignment horizontal="right" vertical="center"/>
    </xf>
    <xf numFmtId="0" fontId="15" fillId="0" borderId="41" xfId="0" applyFont="1" applyBorder="1" applyAlignment="1">
      <alignment horizontal="center" vertical="center" wrapText="1"/>
    </xf>
    <xf numFmtId="0" fontId="45" fillId="0" borderId="0" xfId="0" applyFont="1"/>
    <xf numFmtId="0" fontId="8" fillId="0" borderId="4" xfId="0" applyFont="1" applyFill="1" applyBorder="1" applyAlignment="1"/>
    <xf numFmtId="0" fontId="8" fillId="0" borderId="23" xfId="0" applyFont="1" applyFill="1" applyBorder="1" applyAlignment="1"/>
    <xf numFmtId="168" fontId="46" fillId="0" borderId="0" xfId="0" applyNumberFormat="1" applyFont="1" applyFill="1" applyBorder="1" applyAlignment="1" applyProtection="1">
      <alignment vertical="top"/>
    </xf>
    <xf numFmtId="0" fontId="14" fillId="0" borderId="0" xfId="0" applyNumberFormat="1" applyFont="1" applyFill="1" applyBorder="1" applyAlignment="1" applyProtection="1">
      <alignment horizontal="center" vertical="center"/>
    </xf>
    <xf numFmtId="0" fontId="15" fillId="0" borderId="2" xfId="0" applyFont="1" applyFill="1" applyBorder="1" applyAlignment="1">
      <alignment horizontal="center" wrapText="1"/>
    </xf>
    <xf numFmtId="166" fontId="8" fillId="0" borderId="7" xfId="3" applyNumberFormat="1" applyFont="1" applyFill="1" applyBorder="1" applyAlignment="1">
      <alignment horizontal="right" vertical="center"/>
    </xf>
    <xf numFmtId="0" fontId="10" fillId="0" borderId="7" xfId="4" applyFont="1" applyFill="1" applyBorder="1"/>
    <xf numFmtId="0" fontId="10" fillId="0" borderId="7" xfId="4" applyFont="1" applyFill="1" applyBorder="1" applyAlignment="1">
      <alignment horizontal="center"/>
    </xf>
    <xf numFmtId="1" fontId="10" fillId="0" borderId="7" xfId="4" applyNumberFormat="1" applyFont="1" applyBorder="1" applyAlignment="1">
      <alignment horizontal="right"/>
    </xf>
    <xf numFmtId="2" fontId="10" fillId="0" borderId="7" xfId="4" applyNumberFormat="1" applyFont="1" applyFill="1" applyBorder="1" applyAlignment="1">
      <alignment horizontal="right"/>
    </xf>
    <xf numFmtId="2" fontId="10" fillId="0" borderId="7" xfId="4" applyNumberFormat="1" applyFont="1" applyBorder="1"/>
    <xf numFmtId="2" fontId="8" fillId="0" borderId="7" xfId="4" applyNumberFormat="1" applyFont="1" applyFill="1" applyBorder="1" applyAlignment="1"/>
    <xf numFmtId="2" fontId="8" fillId="0" borderId="7" xfId="4" applyNumberFormat="1" applyFont="1" applyBorder="1"/>
    <xf numFmtId="0" fontId="34" fillId="0" borderId="0" xfId="8" applyFont="1" applyFill="1"/>
    <xf numFmtId="0" fontId="16" fillId="0" borderId="7" xfId="4" applyFont="1" applyFill="1" applyBorder="1" applyAlignment="1">
      <alignment horizontal="right"/>
    </xf>
    <xf numFmtId="0" fontId="10" fillId="0" borderId="7" xfId="4" applyFont="1" applyBorder="1" applyAlignment="1">
      <alignment horizontal="center"/>
    </xf>
    <xf numFmtId="2" fontId="13" fillId="0" borderId="16" xfId="4" applyNumberFormat="1" applyFont="1" applyBorder="1"/>
    <xf numFmtId="2" fontId="10" fillId="0" borderId="19" xfId="4" applyNumberFormat="1" applyFont="1" applyFill="1" applyBorder="1" applyAlignment="1"/>
    <xf numFmtId="0" fontId="5" fillId="2" borderId="0" xfId="4" applyFont="1" applyFill="1" applyBorder="1"/>
    <xf numFmtId="0" fontId="47" fillId="0" borderId="7" xfId="4" applyFont="1" applyBorder="1" applyAlignment="1">
      <alignment horizontal="right"/>
    </xf>
    <xf numFmtId="164" fontId="8" fillId="0" borderId="7" xfId="4" applyNumberFormat="1" applyFont="1" applyBorder="1" applyAlignment="1">
      <alignment horizontal="right"/>
    </xf>
    <xf numFmtId="0" fontId="10" fillId="0" borderId="19" xfId="4" applyFont="1" applyFill="1" applyBorder="1" applyAlignment="1"/>
    <xf numFmtId="0" fontId="8" fillId="0" borderId="57" xfId="0" applyFont="1" applyFill="1" applyBorder="1" applyAlignment="1">
      <alignment horizontal="center"/>
    </xf>
    <xf numFmtId="0" fontId="8" fillId="0" borderId="2" xfId="0" applyFont="1" applyFill="1" applyBorder="1" applyAlignment="1">
      <alignment horizontal="center"/>
    </xf>
    <xf numFmtId="4" fontId="8" fillId="0" borderId="56" xfId="0" applyNumberFormat="1" applyFont="1" applyBorder="1" applyAlignment="1">
      <alignment horizontal="center"/>
    </xf>
    <xf numFmtId="4" fontId="8" fillId="0" borderId="24" xfId="0" applyNumberFormat="1" applyFont="1" applyBorder="1" applyAlignment="1">
      <alignment horizontal="center"/>
    </xf>
    <xf numFmtId="4" fontId="8" fillId="0" borderId="28" xfId="0" applyNumberFormat="1" applyFont="1" applyBorder="1" applyAlignment="1">
      <alignment horizontal="center"/>
    </xf>
    <xf numFmtId="4" fontId="8" fillId="0" borderId="4" xfId="16" applyNumberFormat="1" applyFont="1" applyBorder="1" applyAlignment="1">
      <alignment horizontal="center"/>
    </xf>
    <xf numFmtId="4" fontId="8" fillId="0" borderId="5" xfId="16" applyNumberFormat="1" applyFont="1" applyBorder="1" applyAlignment="1">
      <alignment horizontal="center"/>
    </xf>
    <xf numFmtId="4" fontId="8" fillId="0" borderId="58" xfId="0" applyNumberFormat="1" applyFont="1" applyBorder="1" applyAlignment="1">
      <alignment horizontal="center" vertical="center"/>
    </xf>
    <xf numFmtId="4" fontId="8" fillId="0" borderId="13" xfId="0" applyNumberFormat="1" applyFont="1" applyBorder="1" applyAlignment="1">
      <alignment horizontal="center"/>
    </xf>
    <xf numFmtId="4" fontId="8" fillId="0" borderId="14" xfId="0" applyNumberFormat="1" applyFont="1" applyBorder="1" applyAlignment="1">
      <alignment horizontal="center"/>
    </xf>
    <xf numFmtId="166" fontId="8" fillId="0" borderId="7" xfId="27" applyNumberFormat="1" applyFont="1" applyFill="1" applyBorder="1" applyAlignment="1">
      <alignment horizontal="right" vertical="center"/>
    </xf>
    <xf numFmtId="164" fontId="8" fillId="0" borderId="7" xfId="0" applyNumberFormat="1" applyFont="1" applyBorder="1" applyAlignment="1">
      <alignment horizontal="right" vertical="center"/>
    </xf>
    <xf numFmtId="0" fontId="8" fillId="0" borderId="7" xfId="19" applyFont="1" applyFill="1" applyBorder="1" applyAlignment="1">
      <alignment vertical="center" wrapText="1"/>
    </xf>
    <xf numFmtId="0" fontId="8" fillId="0" borderId="7" xfId="19" applyFont="1" applyFill="1" applyBorder="1" applyAlignment="1">
      <alignment horizontal="center" vertical="center"/>
    </xf>
    <xf numFmtId="2" fontId="8" fillId="0" borderId="7" xfId="19" applyNumberFormat="1" applyFont="1" applyFill="1" applyBorder="1" applyAlignment="1">
      <alignment horizontal="right" vertical="center"/>
    </xf>
    <xf numFmtId="0" fontId="17" fillId="0" borderId="7" xfId="4" applyFont="1" applyFill="1" applyBorder="1" applyAlignment="1">
      <alignment horizontal="right"/>
    </xf>
    <xf numFmtId="0" fontId="17" fillId="0" borderId="7" xfId="19" applyFont="1" applyFill="1" applyBorder="1" applyAlignment="1">
      <alignment horizontal="right" vertical="center"/>
    </xf>
    <xf numFmtId="0" fontId="17" fillId="0" borderId="7" xfId="0" applyFont="1" applyFill="1" applyBorder="1" applyAlignment="1">
      <alignment horizontal="right" wrapText="1"/>
    </xf>
    <xf numFmtId="0" fontId="17" fillId="0" borderId="7" xfId="19" applyFont="1" applyFill="1" applyBorder="1" applyAlignment="1">
      <alignment horizontal="right" vertical="center" wrapText="1"/>
    </xf>
    <xf numFmtId="2" fontId="8" fillId="0" borderId="16" xfId="19" applyNumberFormat="1" applyFont="1" applyFill="1" applyBorder="1" applyAlignment="1">
      <alignment vertical="center"/>
    </xf>
    <xf numFmtId="2" fontId="8" fillId="0" borderId="7" xfId="19" applyNumberFormat="1" applyFont="1" applyFill="1" applyBorder="1" applyAlignment="1">
      <alignment vertical="center"/>
    </xf>
    <xf numFmtId="0" fontId="17" fillId="0" borderId="7" xfId="19" applyFont="1" applyFill="1" applyBorder="1" applyAlignment="1">
      <alignment horizontal="right"/>
    </xf>
    <xf numFmtId="2" fontId="8" fillId="0" borderId="16" xfId="19" applyNumberFormat="1" applyFont="1" applyFill="1" applyBorder="1" applyAlignment="1"/>
    <xf numFmtId="2" fontId="8" fillId="0" borderId="7" xfId="19" applyNumberFormat="1" applyFont="1" applyFill="1" applyBorder="1" applyAlignment="1"/>
    <xf numFmtId="2" fontId="8" fillId="0" borderId="19" xfId="0" applyNumberFormat="1" applyFont="1" applyFill="1" applyBorder="1"/>
    <xf numFmtId="1" fontId="8" fillId="0" borderId="7" xfId="19" applyNumberFormat="1" applyFont="1" applyFill="1" applyBorder="1" applyAlignment="1">
      <alignment horizontal="center"/>
    </xf>
    <xf numFmtId="2" fontId="8" fillId="0" borderId="7" xfId="4" applyNumberFormat="1" applyFont="1" applyFill="1" applyBorder="1" applyAlignment="1">
      <alignment horizontal="right"/>
    </xf>
    <xf numFmtId="0" fontId="8" fillId="0" borderId="7" xfId="0" applyFont="1" applyFill="1" applyBorder="1" applyAlignment="1">
      <alignment wrapText="1"/>
    </xf>
    <xf numFmtId="0" fontId="8" fillId="0" borderId="7" xfId="11" applyFont="1" applyFill="1" applyBorder="1" applyAlignment="1">
      <alignment horizontal="left" vertical="center" wrapText="1"/>
    </xf>
    <xf numFmtId="0" fontId="17" fillId="0" borderId="7" xfId="2" applyFont="1" applyFill="1" applyBorder="1" applyAlignment="1">
      <alignment horizontal="right" vertical="center"/>
    </xf>
    <xf numFmtId="2" fontId="8" fillId="0" borderId="0" xfId="2" applyNumberFormat="1" applyFont="1" applyFill="1" applyBorder="1" applyAlignment="1">
      <alignment vertical="center"/>
    </xf>
    <xf numFmtId="0" fontId="48" fillId="0" borderId="0" xfId="0" applyFont="1" applyAlignment="1">
      <alignment vertical="center"/>
    </xf>
    <xf numFmtId="0" fontId="42" fillId="0" borderId="7" xfId="0" applyFont="1" applyFill="1" applyBorder="1" applyAlignment="1">
      <alignment vertical="center"/>
    </xf>
    <xf numFmtId="2" fontId="8" fillId="0" borderId="20" xfId="3" applyNumberFormat="1" applyFont="1" applyFill="1" applyBorder="1" applyAlignment="1">
      <alignment horizontal="right" vertical="center"/>
    </xf>
    <xf numFmtId="2" fontId="8" fillId="0" borderId="16" xfId="0" applyNumberFormat="1" applyFont="1" applyFill="1" applyBorder="1" applyAlignment="1">
      <alignment horizontal="right" vertical="center"/>
    </xf>
    <xf numFmtId="0" fontId="6" fillId="0" borderId="0" xfId="0" applyFont="1" applyFill="1" applyBorder="1" applyAlignment="1"/>
    <xf numFmtId="2" fontId="25" fillId="0" borderId="0" xfId="0" applyNumberFormat="1" applyFont="1" applyFill="1" applyBorder="1" applyAlignment="1">
      <alignment vertical="center"/>
    </xf>
    <xf numFmtId="2" fontId="8" fillId="0" borderId="7" xfId="5" applyNumberFormat="1" applyFont="1" applyFill="1" applyBorder="1" applyAlignment="1">
      <alignment horizontal="right" vertical="center"/>
    </xf>
    <xf numFmtId="0" fontId="44" fillId="0" borderId="19" xfId="0" applyFont="1" applyFill="1" applyBorder="1" applyAlignment="1">
      <alignment horizontal="right" vertical="center"/>
    </xf>
    <xf numFmtId="2" fontId="10" fillId="0" borderId="18" xfId="0" applyNumberFormat="1" applyFont="1" applyFill="1" applyBorder="1" applyAlignment="1">
      <alignment horizontal="right" vertical="center"/>
    </xf>
    <xf numFmtId="0" fontId="49" fillId="0" borderId="7" xfId="0" applyFont="1" applyFill="1" applyBorder="1" applyAlignment="1">
      <alignment horizontal="center" vertical="center" wrapText="1"/>
    </xf>
    <xf numFmtId="2" fontId="48" fillId="0" borderId="7" xfId="0" applyNumberFormat="1" applyFont="1" applyFill="1" applyBorder="1" applyAlignment="1">
      <alignment vertical="center"/>
    </xf>
    <xf numFmtId="0" fontId="14" fillId="0" borderId="0" xfId="0" applyNumberFormat="1" applyFont="1" applyFill="1" applyBorder="1" applyAlignment="1" applyProtection="1">
      <alignment horizontal="center" vertical="center"/>
    </xf>
    <xf numFmtId="0" fontId="8" fillId="0" borderId="4" xfId="0" applyFont="1" applyFill="1" applyBorder="1" applyAlignment="1">
      <alignment horizontal="center" vertical="center"/>
    </xf>
    <xf numFmtId="0" fontId="8" fillId="0" borderId="13" xfId="0" applyFont="1" applyFill="1" applyBorder="1" applyAlignment="1">
      <alignment horizontal="center"/>
    </xf>
    <xf numFmtId="0" fontId="27" fillId="0" borderId="0" xfId="0" applyFont="1" applyFill="1" applyAlignment="1">
      <alignment vertical="center"/>
    </xf>
    <xf numFmtId="2" fontId="8" fillId="0" borderId="18" xfId="0" applyNumberFormat="1" applyFont="1" applyFill="1" applyBorder="1" applyAlignment="1"/>
    <xf numFmtId="1" fontId="42" fillId="0" borderId="7" xfId="0" applyNumberFormat="1" applyFont="1" applyFill="1" applyBorder="1" applyAlignment="1">
      <alignment horizontal="right" vertical="center"/>
    </xf>
    <xf numFmtId="164" fontId="8" fillId="0" borderId="7" xfId="3" applyNumberFormat="1" applyFont="1" applyFill="1" applyBorder="1" applyAlignment="1">
      <alignment horizontal="right" vertical="center"/>
    </xf>
    <xf numFmtId="0" fontId="49" fillId="0" borderId="7" xfId="0" applyFont="1" applyFill="1" applyBorder="1" applyAlignment="1">
      <alignment horizontal="center" vertical="center"/>
    </xf>
    <xf numFmtId="165" fontId="8" fillId="0" borderId="16" xfId="0" applyNumberFormat="1" applyFont="1" applyFill="1" applyBorder="1" applyAlignment="1">
      <alignment vertical="center"/>
    </xf>
    <xf numFmtId="0" fontId="8" fillId="0" borderId="7" xfId="0" applyFont="1" applyFill="1" applyBorder="1" applyAlignment="1">
      <alignment horizontal="left" vertical="center"/>
    </xf>
    <xf numFmtId="0" fontId="8" fillId="0" borderId="0" xfId="0" applyFont="1" applyFill="1"/>
    <xf numFmtId="2" fontId="56" fillId="0" borderId="0" xfId="0" applyNumberFormat="1" applyFont="1" applyFill="1" applyBorder="1" applyAlignment="1">
      <alignment vertical="center"/>
    </xf>
    <xf numFmtId="2" fontId="8" fillId="0" borderId="0" xfId="0" applyNumberFormat="1" applyFont="1" applyFill="1" applyBorder="1" applyAlignment="1">
      <alignment horizontal="right" vertical="center"/>
    </xf>
    <xf numFmtId="43" fontId="58" fillId="0" borderId="4" xfId="35" applyNumberFormat="1" applyFont="1" applyFill="1" applyBorder="1" applyAlignment="1">
      <alignment horizontal="right" vertical="center" wrapText="1"/>
    </xf>
    <xf numFmtId="43" fontId="42" fillId="0" borderId="4" xfId="35" applyNumberFormat="1" applyFont="1" applyFill="1" applyBorder="1" applyAlignment="1">
      <alignment horizontal="right" vertical="center" wrapText="1"/>
    </xf>
    <xf numFmtId="43" fontId="58" fillId="0" borderId="5" xfId="35" applyNumberFormat="1" applyFont="1" applyFill="1" applyBorder="1" applyAlignment="1">
      <alignment horizontal="right" vertical="center" wrapText="1"/>
    </xf>
    <xf numFmtId="43" fontId="58" fillId="0" borderId="7" xfId="35" applyNumberFormat="1" applyFont="1" applyFill="1" applyBorder="1" applyAlignment="1">
      <alignment horizontal="right" vertical="center" wrapText="1"/>
    </xf>
    <xf numFmtId="43" fontId="42" fillId="0" borderId="7" xfId="35" applyNumberFormat="1" applyFont="1" applyFill="1" applyBorder="1" applyAlignment="1">
      <alignment horizontal="right" vertical="center" wrapText="1"/>
    </xf>
    <xf numFmtId="43" fontId="58" fillId="0" borderId="15" xfId="35" applyNumberFormat="1" applyFont="1" applyFill="1" applyBorder="1" applyAlignment="1">
      <alignment horizontal="right" vertical="center" wrapText="1"/>
    </xf>
    <xf numFmtId="169" fontId="58" fillId="0" borderId="7" xfId="35" applyNumberFormat="1" applyFont="1" applyFill="1" applyBorder="1" applyAlignment="1">
      <alignment horizontal="right" vertical="center" wrapText="1"/>
    </xf>
    <xf numFmtId="0" fontId="48" fillId="0" borderId="7" xfId="0" applyFont="1" applyFill="1" applyBorder="1" applyAlignment="1">
      <alignment horizontal="center" vertical="center" wrapText="1"/>
    </xf>
    <xf numFmtId="0" fontId="48" fillId="0" borderId="7" xfId="0" applyFont="1" applyFill="1" applyBorder="1" applyAlignment="1">
      <alignment horizontal="center" vertical="center"/>
    </xf>
    <xf numFmtId="1" fontId="48" fillId="0" borderId="7" xfId="0" applyNumberFormat="1" applyFont="1" applyFill="1" applyBorder="1" applyAlignment="1">
      <alignment horizontal="right" vertical="center"/>
    </xf>
    <xf numFmtId="2" fontId="48" fillId="0" borderId="16" xfId="0" applyNumberFormat="1" applyFont="1" applyFill="1" applyBorder="1" applyAlignment="1">
      <alignment vertical="center"/>
    </xf>
    <xf numFmtId="2" fontId="48" fillId="0" borderId="15" xfId="0" applyNumberFormat="1" applyFont="1" applyFill="1" applyBorder="1" applyAlignment="1">
      <alignment vertical="center"/>
    </xf>
    <xf numFmtId="0" fontId="59" fillId="0" borderId="0" xfId="0" applyFont="1" applyFill="1" applyBorder="1" applyAlignment="1">
      <alignment vertical="center"/>
    </xf>
    <xf numFmtId="0" fontId="60" fillId="0" borderId="7" xfId="0" applyFont="1" applyFill="1" applyBorder="1" applyAlignment="1">
      <alignment horizontal="center" vertical="center" wrapText="1"/>
    </xf>
    <xf numFmtId="0" fontId="60" fillId="0" borderId="7" xfId="27" applyFont="1" applyFill="1" applyBorder="1" applyAlignment="1">
      <alignment horizontal="center" vertical="center" wrapText="1"/>
    </xf>
    <xf numFmtId="165" fontId="48" fillId="0" borderId="7" xfId="0" applyNumberFormat="1" applyFont="1" applyFill="1" applyBorder="1" applyAlignment="1">
      <alignment vertical="center"/>
    </xf>
    <xf numFmtId="0" fontId="48" fillId="0" borderId="7" xfId="0" applyFont="1" applyFill="1" applyBorder="1" applyAlignment="1">
      <alignment vertical="center" wrapText="1"/>
    </xf>
    <xf numFmtId="0" fontId="48" fillId="0" borderId="7" xfId="0" applyNumberFormat="1" applyFont="1" applyFill="1" applyBorder="1" applyAlignment="1">
      <alignment horizontal="right" vertical="center"/>
    </xf>
    <xf numFmtId="2" fontId="48" fillId="0" borderId="7" xfId="0" applyNumberFormat="1" applyFont="1" applyFill="1" applyBorder="1" applyAlignment="1">
      <alignment horizontal="right" vertical="center"/>
    </xf>
    <xf numFmtId="164" fontId="48" fillId="0" borderId="7" xfId="0" applyNumberFormat="1" applyFont="1" applyFill="1" applyBorder="1" applyAlignment="1">
      <alignment horizontal="right" vertical="center"/>
    </xf>
    <xf numFmtId="2" fontId="48" fillId="0" borderId="7" xfId="27" applyNumberFormat="1" applyFont="1" applyFill="1" applyBorder="1" applyAlignment="1">
      <alignment horizontal="right" vertical="center"/>
    </xf>
    <xf numFmtId="2" fontId="48" fillId="0" borderId="16" xfId="0" applyNumberFormat="1" applyFont="1" applyFill="1" applyBorder="1" applyAlignment="1">
      <alignment horizontal="right" vertical="center"/>
    </xf>
    <xf numFmtId="0" fontId="48" fillId="0" borderId="7" xfId="27" applyFont="1" applyFill="1" applyBorder="1" applyAlignment="1">
      <alignment horizontal="center" vertical="center"/>
    </xf>
    <xf numFmtId="0" fontId="57" fillId="0" borderId="0" xfId="0" applyFont="1" applyFill="1" applyBorder="1"/>
    <xf numFmtId="0" fontId="48" fillId="0" borderId="7" xfId="27" applyFont="1" applyFill="1" applyBorder="1" applyAlignment="1">
      <alignment vertical="center" wrapText="1"/>
    </xf>
    <xf numFmtId="0" fontId="15" fillId="0" borderId="0" xfId="0" applyFont="1" applyFill="1" applyAlignment="1">
      <alignment vertical="center"/>
    </xf>
    <xf numFmtId="2" fontId="8" fillId="0" borderId="0" xfId="2" applyNumberFormat="1" applyFont="1" applyFill="1" applyAlignment="1">
      <alignment vertical="center"/>
    </xf>
    <xf numFmtId="14" fontId="26" fillId="0" borderId="0" xfId="0" applyNumberFormat="1" applyFont="1" applyFill="1" applyBorder="1" applyAlignment="1" applyProtection="1">
      <alignment horizontal="right" vertical="center"/>
    </xf>
    <xf numFmtId="0" fontId="29" fillId="0" borderId="0" xfId="0" applyFont="1" applyAlignment="1">
      <alignment horizontal="center"/>
    </xf>
    <xf numFmtId="0" fontId="15" fillId="0" borderId="3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9" xfId="0" applyFont="1" applyBorder="1" applyAlignment="1">
      <alignment horizontal="center" vertical="center" wrapText="1"/>
    </xf>
    <xf numFmtId="0" fontId="7" fillId="0" borderId="0" xfId="0" applyFont="1" applyFill="1" applyAlignment="1">
      <alignment horizontal="center"/>
    </xf>
    <xf numFmtId="0" fontId="14" fillId="0" borderId="0" xfId="0" applyFont="1" applyFill="1" applyAlignment="1">
      <alignment horizontal="center"/>
    </xf>
    <xf numFmtId="49" fontId="8" fillId="0" borderId="33" xfId="0" applyNumberFormat="1" applyFont="1" applyFill="1" applyBorder="1" applyAlignment="1">
      <alignment horizontal="right"/>
    </xf>
    <xf numFmtId="167" fontId="14" fillId="0" borderId="0" xfId="0" applyNumberFormat="1" applyFont="1" applyFill="1" applyBorder="1" applyAlignment="1">
      <alignment horizontal="center"/>
    </xf>
    <xf numFmtId="49" fontId="33" fillId="0" borderId="23" xfId="0" applyNumberFormat="1" applyFont="1" applyFill="1" applyBorder="1" applyAlignment="1">
      <alignment horizontal="center" vertical="center" wrapText="1"/>
    </xf>
    <xf numFmtId="49" fontId="33" fillId="0" borderId="24" xfId="0" applyNumberFormat="1" applyFont="1" applyFill="1" applyBorder="1" applyAlignment="1">
      <alignment horizontal="center" vertical="center" wrapText="1"/>
    </xf>
    <xf numFmtId="49" fontId="33" fillId="0" borderId="25" xfId="0" applyNumberFormat="1" applyFont="1" applyFill="1" applyBorder="1" applyAlignment="1">
      <alignment horizontal="center" vertical="center" wrapText="1"/>
    </xf>
    <xf numFmtId="49" fontId="32" fillId="0" borderId="23" xfId="0" applyNumberFormat="1" applyFont="1" applyFill="1" applyBorder="1" applyAlignment="1">
      <alignment horizontal="center" vertical="center" wrapText="1"/>
    </xf>
    <xf numFmtId="49" fontId="32" fillId="0" borderId="24" xfId="0" applyNumberFormat="1" applyFont="1" applyFill="1" applyBorder="1" applyAlignment="1">
      <alignment horizontal="center" vertical="center" wrapText="1"/>
    </xf>
    <xf numFmtId="49" fontId="32" fillId="0" borderId="25" xfId="0" applyNumberFormat="1" applyFont="1" applyFill="1" applyBorder="1" applyAlignment="1">
      <alignment horizontal="center" vertical="center" wrapText="1"/>
    </xf>
    <xf numFmtId="49" fontId="12" fillId="0" borderId="34" xfId="0" applyNumberFormat="1" applyFont="1" applyFill="1" applyBorder="1" applyAlignment="1">
      <alignment horizontal="center" vertical="center" wrapText="1"/>
    </xf>
    <xf numFmtId="49" fontId="12" fillId="0" borderId="35" xfId="0" applyNumberFormat="1" applyFont="1" applyFill="1" applyBorder="1" applyAlignment="1">
      <alignment horizontal="center" vertical="center" wrapText="1"/>
    </xf>
    <xf numFmtId="49" fontId="12" fillId="0" borderId="36" xfId="0" applyNumberFormat="1" applyFont="1" applyFill="1" applyBorder="1" applyAlignment="1">
      <alignment horizontal="center" vertical="center" wrapText="1"/>
    </xf>
    <xf numFmtId="49" fontId="12" fillId="0" borderId="26"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49" fontId="33" fillId="0" borderId="27" xfId="0" applyNumberFormat="1" applyFont="1" applyFill="1" applyBorder="1" applyAlignment="1">
      <alignment horizontal="center" vertical="center" wrapText="1"/>
    </xf>
    <xf numFmtId="49" fontId="33" fillId="0" borderId="28" xfId="0" applyNumberFormat="1" applyFont="1" applyFill="1" applyBorder="1" applyAlignment="1">
      <alignment horizontal="center" vertical="center" wrapText="1"/>
    </xf>
    <xf numFmtId="49" fontId="33" fillId="0" borderId="29" xfId="0" applyNumberFormat="1" applyFont="1" applyFill="1" applyBorder="1" applyAlignment="1">
      <alignment horizontal="center" vertical="center" wrapText="1"/>
    </xf>
    <xf numFmtId="0" fontId="15" fillId="0" borderId="50" xfId="0" applyFont="1" applyFill="1" applyBorder="1" applyAlignment="1">
      <alignment horizontal="center"/>
    </xf>
    <xf numFmtId="0" fontId="15" fillId="0" borderId="51" xfId="0" applyFont="1" applyFill="1" applyBorder="1" applyAlignment="1">
      <alignment horizontal="center"/>
    </xf>
    <xf numFmtId="0" fontId="15" fillId="0" borderId="21" xfId="0" applyFont="1" applyFill="1" applyBorder="1" applyAlignment="1">
      <alignment horizontal="center"/>
    </xf>
    <xf numFmtId="49" fontId="12" fillId="0" borderId="30" xfId="0" applyNumberFormat="1" applyFont="1" applyFill="1" applyBorder="1" applyAlignment="1">
      <alignment horizontal="center" vertical="center"/>
    </xf>
    <xf numFmtId="49" fontId="12" fillId="0" borderId="31" xfId="0" applyNumberFormat="1" applyFont="1" applyFill="1" applyBorder="1" applyAlignment="1">
      <alignment horizontal="center" vertical="center"/>
    </xf>
    <xf numFmtId="49" fontId="12" fillId="0" borderId="32" xfId="0" applyNumberFormat="1" applyFont="1" applyFill="1" applyBorder="1" applyAlignment="1">
      <alignment horizontal="center" vertical="center"/>
    </xf>
    <xf numFmtId="49" fontId="12" fillId="0" borderId="17" xfId="0" applyNumberFormat="1" applyFont="1" applyFill="1" applyBorder="1" applyAlignment="1">
      <alignment horizontal="center" vertical="center"/>
    </xf>
    <xf numFmtId="49" fontId="32" fillId="2" borderId="24" xfId="0" applyNumberFormat="1" applyFont="1" applyFill="1" applyBorder="1" applyAlignment="1">
      <alignment horizontal="center" vertical="center" wrapText="1"/>
    </xf>
    <xf numFmtId="49" fontId="32" fillId="2" borderId="25" xfId="0" applyNumberFormat="1" applyFont="1" applyFill="1" applyBorder="1" applyAlignment="1">
      <alignment horizontal="center" vertical="center" wrapText="1"/>
    </xf>
    <xf numFmtId="0" fontId="7" fillId="0" borderId="0" xfId="0" applyFont="1" applyFill="1" applyAlignment="1">
      <alignment horizontal="center" vertical="center"/>
    </xf>
    <xf numFmtId="0" fontId="14" fillId="0" borderId="0" xfId="0" applyNumberFormat="1" applyFont="1" applyFill="1" applyBorder="1" applyAlignment="1" applyProtection="1">
      <alignment horizontal="center" vertical="center"/>
    </xf>
    <xf numFmtId="49" fontId="6" fillId="0" borderId="33" xfId="0" applyNumberFormat="1" applyFont="1" applyFill="1" applyBorder="1" applyAlignment="1">
      <alignment horizontal="right" vertical="center"/>
    </xf>
    <xf numFmtId="167" fontId="14" fillId="0" borderId="0" xfId="0" applyNumberFormat="1" applyFont="1" applyFill="1" applyBorder="1" applyAlignment="1">
      <alignment horizontal="center" vertical="center"/>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21" xfId="0" applyFont="1" applyFill="1" applyBorder="1" applyAlignment="1">
      <alignment horizontal="center" vertical="center"/>
    </xf>
    <xf numFmtId="49" fontId="8" fillId="0" borderId="33" xfId="0" applyNumberFormat="1" applyFont="1" applyFill="1" applyBorder="1" applyAlignment="1">
      <alignment horizontal="right" vertical="center"/>
    </xf>
    <xf numFmtId="167" fontId="14" fillId="0" borderId="33" xfId="0" applyNumberFormat="1" applyFont="1" applyFill="1" applyBorder="1" applyAlignment="1">
      <alignment horizontal="center" vertical="center"/>
    </xf>
    <xf numFmtId="0" fontId="14" fillId="0" borderId="0" xfId="0" applyNumberFormat="1" applyFont="1" applyFill="1" applyBorder="1" applyAlignment="1" applyProtection="1">
      <alignment horizontal="center" vertical="top"/>
    </xf>
    <xf numFmtId="167" fontId="14" fillId="0" borderId="33" xfId="0" applyNumberFormat="1" applyFont="1" applyFill="1" applyBorder="1" applyAlignment="1">
      <alignment horizontal="center"/>
    </xf>
    <xf numFmtId="2" fontId="8" fillId="0" borderId="61" xfId="0" applyNumberFormat="1" applyFont="1" applyFill="1" applyBorder="1" applyAlignment="1">
      <alignment horizontal="center" vertical="center"/>
    </xf>
    <xf numFmtId="2" fontId="8" fillId="0" borderId="25" xfId="0" applyNumberFormat="1" applyFont="1" applyFill="1" applyBorder="1" applyAlignment="1">
      <alignment horizontal="center" vertical="center"/>
    </xf>
    <xf numFmtId="0" fontId="8" fillId="0" borderId="61" xfId="0" applyNumberFormat="1" applyFont="1" applyFill="1" applyBorder="1" applyAlignment="1">
      <alignment horizontal="right" vertical="center"/>
    </xf>
    <xf numFmtId="0" fontId="8" fillId="0" borderId="25" xfId="0" applyNumberFormat="1" applyFont="1" applyFill="1" applyBorder="1" applyAlignment="1">
      <alignment horizontal="right" vertical="center"/>
    </xf>
    <xf numFmtId="0" fontId="8" fillId="0" borderId="61"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63" xfId="0" applyFont="1" applyFill="1" applyBorder="1" applyAlignment="1">
      <alignment vertical="center" wrapText="1"/>
    </xf>
    <xf numFmtId="0" fontId="8" fillId="0" borderId="36" xfId="0" applyFont="1" applyFill="1" applyBorder="1" applyAlignment="1">
      <alignment vertical="center" wrapText="1"/>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43" fontId="42" fillId="0" borderId="61" xfId="35" applyNumberFormat="1" applyFont="1" applyFill="1" applyBorder="1" applyAlignment="1">
      <alignment horizontal="center" vertical="center" wrapText="1"/>
    </xf>
    <xf numFmtId="43" fontId="42" fillId="0" borderId="25" xfId="35" applyNumberFormat="1" applyFont="1" applyFill="1" applyBorder="1" applyAlignment="1">
      <alignment horizontal="center" vertical="center" wrapText="1"/>
    </xf>
    <xf numFmtId="43" fontId="58" fillId="0" borderId="62" xfId="35" applyNumberFormat="1" applyFont="1" applyFill="1" applyBorder="1" applyAlignment="1">
      <alignment horizontal="center" vertical="center" wrapText="1"/>
    </xf>
    <xf numFmtId="43" fontId="58" fillId="0" borderId="29" xfId="35" applyNumberFormat="1" applyFont="1" applyFill="1" applyBorder="1" applyAlignment="1">
      <alignment horizontal="center" vertical="center" wrapText="1"/>
    </xf>
    <xf numFmtId="43" fontId="58" fillId="0" borderId="61" xfId="35" applyNumberFormat="1" applyFont="1" applyFill="1" applyBorder="1" applyAlignment="1">
      <alignment horizontal="center" vertical="center" wrapText="1"/>
    </xf>
    <xf numFmtId="43" fontId="58" fillId="0" borderId="25" xfId="35" applyNumberFormat="1"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49" fontId="18" fillId="0" borderId="24" xfId="0" applyNumberFormat="1" applyFont="1" applyFill="1" applyBorder="1" applyAlignment="1">
      <alignment horizontal="center" vertical="center" wrapText="1"/>
    </xf>
    <xf numFmtId="49" fontId="18" fillId="0" borderId="25" xfId="0" applyNumberFormat="1" applyFont="1" applyFill="1" applyBorder="1" applyAlignment="1">
      <alignment horizontal="center" vertical="center" wrapText="1"/>
    </xf>
    <xf numFmtId="49" fontId="12" fillId="0" borderId="23" xfId="0" applyNumberFormat="1" applyFont="1" applyFill="1" applyBorder="1" applyAlignment="1">
      <alignment horizontal="center" vertical="center" wrapText="1"/>
    </xf>
    <xf numFmtId="49" fontId="8" fillId="0" borderId="36" xfId="0" applyNumberFormat="1" applyFont="1" applyFill="1" applyBorder="1" applyAlignment="1">
      <alignment horizontal="center" vertical="center" wrapText="1"/>
    </xf>
    <xf numFmtId="49" fontId="12" fillId="0" borderId="53" xfId="0" applyNumberFormat="1" applyFont="1" applyFill="1" applyBorder="1" applyAlignment="1">
      <alignment horizontal="center" vertical="center" wrapText="1"/>
    </xf>
    <xf numFmtId="49" fontId="12" fillId="0" borderId="54" xfId="0" applyNumberFormat="1" applyFont="1" applyFill="1" applyBorder="1" applyAlignment="1">
      <alignment horizontal="center" vertical="center"/>
    </xf>
    <xf numFmtId="49" fontId="12" fillId="0" borderId="27" xfId="0" applyNumberFormat="1" applyFont="1" applyFill="1" applyBorder="1" applyAlignment="1">
      <alignment horizontal="center" vertical="center" wrapText="1"/>
    </xf>
    <xf numFmtId="49" fontId="12" fillId="0" borderId="28" xfId="0" applyNumberFormat="1" applyFont="1" applyFill="1" applyBorder="1" applyAlignment="1">
      <alignment horizontal="center" vertical="center" wrapText="1"/>
    </xf>
    <xf numFmtId="49" fontId="12" fillId="0" borderId="29"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0" fontId="15" fillId="0" borderId="66" xfId="0" applyFont="1" applyFill="1" applyBorder="1" applyAlignment="1">
      <alignment horizontal="center"/>
    </xf>
    <xf numFmtId="0" fontId="15" fillId="0" borderId="67" xfId="0" applyFont="1" applyFill="1" applyBorder="1" applyAlignment="1">
      <alignment horizontal="center"/>
    </xf>
    <xf numFmtId="0" fontId="15" fillId="0" borderId="68" xfId="0" applyFont="1" applyFill="1" applyBorder="1" applyAlignment="1">
      <alignment horizontal="center"/>
    </xf>
    <xf numFmtId="0" fontId="15" fillId="0" borderId="69" xfId="0" applyFont="1" applyFill="1" applyBorder="1" applyAlignment="1">
      <alignment horizontal="center"/>
    </xf>
    <xf numFmtId="0" fontId="15" fillId="0" borderId="0" xfId="0" applyFont="1" applyFill="1" applyBorder="1" applyAlignment="1">
      <alignment horizontal="center"/>
    </xf>
    <xf numFmtId="0" fontId="15" fillId="0" borderId="70" xfId="0" applyFont="1" applyFill="1" applyBorder="1" applyAlignment="1">
      <alignment horizontal="center"/>
    </xf>
    <xf numFmtId="0" fontId="15" fillId="0" borderId="71" xfId="0" applyFont="1" applyFill="1" applyBorder="1" applyAlignment="1">
      <alignment horizontal="center"/>
    </xf>
    <xf numFmtId="0" fontId="15" fillId="0" borderId="33" xfId="0" applyFont="1" applyFill="1" applyBorder="1" applyAlignment="1">
      <alignment horizontal="center"/>
    </xf>
    <xf numFmtId="0" fontId="15" fillId="0" borderId="72" xfId="0" applyFont="1" applyFill="1" applyBorder="1" applyAlignment="1">
      <alignment horizontal="center"/>
    </xf>
    <xf numFmtId="2" fontId="15" fillId="0" borderId="68" xfId="0" applyNumberFormat="1" applyFont="1" applyFill="1" applyBorder="1" applyAlignment="1">
      <alignment horizontal="center"/>
    </xf>
    <xf numFmtId="2" fontId="15" fillId="0" borderId="70" xfId="0" applyNumberFormat="1" applyFont="1" applyFill="1" applyBorder="1" applyAlignment="1">
      <alignment horizontal="center"/>
    </xf>
    <xf numFmtId="2" fontId="15" fillId="0" borderId="72" xfId="0" applyNumberFormat="1" applyFont="1" applyFill="1" applyBorder="1" applyAlignment="1">
      <alignment horizontal="center"/>
    </xf>
    <xf numFmtId="2" fontId="15" fillId="0" borderId="73" xfId="0" applyNumberFormat="1" applyFont="1" applyFill="1" applyBorder="1" applyAlignment="1">
      <alignment horizontal="center"/>
    </xf>
    <xf numFmtId="2" fontId="15" fillId="0" borderId="74" xfId="0" applyNumberFormat="1" applyFont="1" applyFill="1" applyBorder="1" applyAlignment="1">
      <alignment horizontal="center"/>
    </xf>
    <xf numFmtId="2" fontId="15" fillId="0" borderId="75" xfId="0" applyNumberFormat="1" applyFont="1" applyFill="1" applyBorder="1" applyAlignment="1">
      <alignment horizontal="center"/>
    </xf>
    <xf numFmtId="2" fontId="15" fillId="0" borderId="61" xfId="0" applyNumberFormat="1" applyFont="1" applyFill="1" applyBorder="1" applyAlignment="1">
      <alignment horizontal="center"/>
    </xf>
    <xf numFmtId="2" fontId="15" fillId="0" borderId="24" xfId="0" applyNumberFormat="1" applyFont="1" applyFill="1" applyBorder="1" applyAlignment="1">
      <alignment horizontal="center"/>
    </xf>
    <xf numFmtId="2" fontId="15" fillId="0" borderId="44" xfId="0" applyNumberFormat="1" applyFont="1" applyFill="1" applyBorder="1" applyAlignment="1">
      <alignment horizontal="center"/>
    </xf>
    <xf numFmtId="2" fontId="15" fillId="0" borderId="63" xfId="0" applyNumberFormat="1" applyFont="1" applyFill="1" applyBorder="1" applyAlignment="1">
      <alignment horizontal="center"/>
    </xf>
    <xf numFmtId="2" fontId="15" fillId="0" borderId="35" xfId="0" applyNumberFormat="1" applyFont="1" applyFill="1" applyBorder="1" applyAlignment="1">
      <alignment horizontal="center"/>
    </xf>
    <xf numFmtId="2" fontId="15" fillId="0" borderId="43" xfId="0" applyNumberFormat="1" applyFont="1" applyFill="1" applyBorder="1" applyAlignment="1">
      <alignment horizontal="center"/>
    </xf>
    <xf numFmtId="2" fontId="8" fillId="0" borderId="20" xfId="0" applyNumberFormat="1" applyFont="1" applyFill="1" applyBorder="1" applyAlignment="1">
      <alignment horizontal="right" vertical="center"/>
    </xf>
    <xf numFmtId="2" fontId="8" fillId="0" borderId="24" xfId="0" applyNumberFormat="1" applyFont="1" applyFill="1" applyBorder="1" applyAlignment="1">
      <alignment horizontal="right" vertical="center"/>
    </xf>
    <xf numFmtId="2" fontId="8" fillId="0" borderId="19" xfId="0" applyNumberFormat="1" applyFont="1" applyFill="1" applyBorder="1" applyAlignment="1">
      <alignment horizontal="right" vertical="center"/>
    </xf>
    <xf numFmtId="43" fontId="58" fillId="0" borderId="59" xfId="35" applyNumberFormat="1" applyFont="1" applyFill="1" applyBorder="1" applyAlignment="1">
      <alignment horizontal="right" vertical="center" wrapText="1"/>
    </xf>
    <xf numFmtId="43" fontId="58" fillId="0" borderId="28" xfId="35" applyNumberFormat="1" applyFont="1" applyFill="1" applyBorder="1" applyAlignment="1">
      <alignment horizontal="right" vertical="center" wrapText="1"/>
    </xf>
    <xf numFmtId="43" fontId="58" fillId="0" borderId="60" xfId="35" applyNumberFormat="1" applyFont="1" applyFill="1" applyBorder="1" applyAlignment="1">
      <alignment horizontal="right" vertical="center" wrapText="1"/>
    </xf>
    <xf numFmtId="43" fontId="58" fillId="0" borderId="20" xfId="35" applyNumberFormat="1" applyFont="1" applyFill="1" applyBorder="1" applyAlignment="1">
      <alignment horizontal="right" vertical="center" wrapText="1"/>
    </xf>
    <xf numFmtId="43" fontId="58" fillId="0" borderId="24" xfId="35" applyNumberFormat="1" applyFont="1" applyFill="1" applyBorder="1" applyAlignment="1">
      <alignment horizontal="right" vertical="center" wrapText="1"/>
    </xf>
    <xf numFmtId="43" fontId="58" fillId="0" borderId="19" xfId="35" applyNumberFormat="1" applyFont="1" applyFill="1" applyBorder="1" applyAlignment="1">
      <alignment horizontal="right" vertical="center" wrapText="1"/>
    </xf>
    <xf numFmtId="43" fontId="42" fillId="0" borderId="20" xfId="35" applyNumberFormat="1" applyFont="1" applyFill="1" applyBorder="1" applyAlignment="1">
      <alignment horizontal="right" vertical="center" wrapText="1"/>
    </xf>
    <xf numFmtId="43" fontId="42" fillId="0" borderId="24" xfId="35" applyNumberFormat="1" applyFont="1" applyFill="1" applyBorder="1" applyAlignment="1">
      <alignment horizontal="right" vertical="center" wrapText="1"/>
    </xf>
    <xf numFmtId="43" fontId="42" fillId="0" borderId="19" xfId="35" applyNumberFormat="1" applyFont="1" applyFill="1" applyBorder="1" applyAlignment="1">
      <alignment horizontal="right" vertical="center" wrapText="1"/>
    </xf>
    <xf numFmtId="49" fontId="14" fillId="0" borderId="0" xfId="0" applyNumberFormat="1" applyFont="1" applyFill="1" applyBorder="1" applyAlignment="1" applyProtection="1">
      <alignment horizontal="center" vertical="top"/>
    </xf>
  </cellXfs>
  <cellStyles count="36">
    <cellStyle name="Excel Built-in Normal" xfId="33"/>
    <cellStyle name="Good" xfId="11" builtinId="26"/>
    <cellStyle name="Normal" xfId="0" builtinId="0"/>
    <cellStyle name="Normal 10" xfId="31"/>
    <cellStyle name="Normal 15" xfId="12"/>
    <cellStyle name="Normal 15 2" xfId="29"/>
    <cellStyle name="Normal 2" xfId="13"/>
    <cellStyle name="Normal 2 3" xfId="34"/>
    <cellStyle name="Normal 2 4" xfId="10"/>
    <cellStyle name="Normal 3" xfId="14"/>
    <cellStyle name="Normal 4" xfId="7"/>
    <cellStyle name="Normal 9" xfId="9"/>
    <cellStyle name="Normal_09-08-25 Auciems" xfId="35"/>
    <cellStyle name="Normal_Sheet1" xfId="1"/>
    <cellStyle name="Normal_Tames sagatave Bullu-Pulka kor.1 _BK_Ludmila1_SAGATAVE 2" xfId="8"/>
    <cellStyle name="Percent 2 3" xfId="15"/>
    <cellStyle name="Style 1" xfId="5"/>
    <cellStyle name="Денежный 2" xfId="30"/>
    <cellStyle name="Обычный 2" xfId="2"/>
    <cellStyle name="Обычный 2 2" xfId="3"/>
    <cellStyle name="Обычный 2 2 2" xfId="19"/>
    <cellStyle name="Обычный 2 2 3" xfId="27"/>
    <cellStyle name="Обычный 2 3" xfId="32"/>
    <cellStyle name="Обычный 3" xfId="6"/>
    <cellStyle name="Обычный 4" xfId="16"/>
    <cellStyle name="Обычный 5" xfId="18"/>
    <cellStyle name="Обычный 6" xfId="17"/>
    <cellStyle name="Обычный 7" xfId="22"/>
    <cellStyle name="Обычный 8" xfId="21"/>
    <cellStyle name="Обычный 8 2" xfId="25"/>
    <cellStyle name="Обычный 9" xfId="26"/>
    <cellStyle name="Стиль 1" xfId="4"/>
    <cellStyle name="Финансовый 2" xfId="20"/>
    <cellStyle name="Финансовый 3" xfId="23"/>
    <cellStyle name="Финансовый 4" xfId="24"/>
    <cellStyle name="Хороший 2" xfId="28"/>
  </cellStyles>
  <dxfs count="10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6"/>
  <sheetViews>
    <sheetView tabSelected="1" zoomScaleNormal="100" workbookViewId="0">
      <selection activeCell="A3" sqref="A3"/>
    </sheetView>
  </sheetViews>
  <sheetFormatPr defaultColWidth="9.140625" defaultRowHeight="12.75"/>
  <cols>
    <col min="1" max="1" width="6.42578125" style="50" customWidth="1"/>
    <col min="2" max="2" width="9.140625" style="50"/>
    <col min="3" max="3" width="39.28515625" style="50" customWidth="1"/>
    <col min="4" max="4" width="11.28515625" style="50" customWidth="1"/>
    <col min="5" max="5" width="9.85546875" style="50" customWidth="1"/>
    <col min="6" max="6" width="11.28515625" style="50" customWidth="1"/>
    <col min="7" max="8" width="9.85546875" style="50" customWidth="1"/>
    <col min="9" max="16" width="0" style="50" hidden="1" customWidth="1"/>
    <col min="17" max="17" width="9.140625" style="50"/>
    <col min="18" max="18" width="11.28515625" style="50" bestFit="1" customWidth="1"/>
    <col min="19" max="16384" width="9.140625" style="50"/>
  </cols>
  <sheetData>
    <row r="1" spans="1:18" ht="15.75">
      <c r="A1" s="362" t="s">
        <v>61</v>
      </c>
      <c r="B1" s="362"/>
      <c r="C1" s="362"/>
      <c r="D1" s="362"/>
      <c r="E1" s="362"/>
      <c r="F1" s="362"/>
      <c r="G1" s="362"/>
      <c r="H1" s="362"/>
      <c r="R1" s="256"/>
    </row>
    <row r="3" spans="1:18">
      <c r="A3" s="115" t="s">
        <v>1246</v>
      </c>
      <c r="D3" s="93"/>
    </row>
    <row r="4" spans="1:18">
      <c r="A4" s="115" t="s">
        <v>307</v>
      </c>
      <c r="D4" s="93"/>
    </row>
    <row r="5" spans="1:18">
      <c r="A5" s="115" t="s">
        <v>306</v>
      </c>
      <c r="D5" s="93"/>
    </row>
    <row r="6" spans="1:18" ht="13.5" thickBot="1"/>
    <row r="7" spans="1:18">
      <c r="A7" s="363" t="s">
        <v>27</v>
      </c>
      <c r="B7" s="365" t="s">
        <v>0</v>
      </c>
      <c r="C7" s="365" t="s">
        <v>62</v>
      </c>
      <c r="D7" s="365" t="s">
        <v>140</v>
      </c>
      <c r="E7" s="365" t="s">
        <v>63</v>
      </c>
      <c r="F7" s="365"/>
      <c r="G7" s="365"/>
      <c r="H7" s="367"/>
    </row>
    <row r="8" spans="1:18" ht="24.75" thickBot="1">
      <c r="A8" s="364"/>
      <c r="B8" s="366"/>
      <c r="C8" s="366"/>
      <c r="D8" s="366"/>
      <c r="E8" s="255" t="s">
        <v>123</v>
      </c>
      <c r="F8" s="255" t="s">
        <v>121</v>
      </c>
      <c r="G8" s="255" t="s">
        <v>141</v>
      </c>
      <c r="H8" s="51" t="s">
        <v>64</v>
      </c>
    </row>
    <row r="9" spans="1:18" ht="14.25" thickTop="1" thickBot="1">
      <c r="A9" s="52">
        <v>1</v>
      </c>
      <c r="B9" s="53">
        <v>2</v>
      </c>
      <c r="C9" s="54">
        <v>3</v>
      </c>
      <c r="D9" s="53">
        <v>4</v>
      </c>
      <c r="E9" s="54">
        <v>5</v>
      </c>
      <c r="F9" s="53">
        <v>6</v>
      </c>
      <c r="G9" s="54">
        <v>7</v>
      </c>
      <c r="H9" s="55">
        <v>8</v>
      </c>
    </row>
    <row r="10" spans="1:18" s="94" customFormat="1" ht="13.5" thickTop="1">
      <c r="A10" s="85"/>
      <c r="B10" s="87"/>
      <c r="C10" s="91" t="s">
        <v>181</v>
      </c>
      <c r="D10" s="168"/>
      <c r="E10" s="56"/>
      <c r="F10" s="56"/>
      <c r="G10" s="56"/>
      <c r="H10" s="57"/>
    </row>
    <row r="11" spans="1:18">
      <c r="A11" s="86">
        <v>1</v>
      </c>
      <c r="B11" s="322" t="s">
        <v>54</v>
      </c>
      <c r="C11" s="257" t="s">
        <v>67</v>
      </c>
      <c r="D11" s="89"/>
      <c r="E11" s="68"/>
      <c r="F11" s="68"/>
      <c r="G11" s="68"/>
      <c r="H11" s="69"/>
    </row>
    <row r="12" spans="1:18" ht="12" customHeight="1">
      <c r="A12" s="85">
        <f>A11+1</f>
        <v>2</v>
      </c>
      <c r="B12" s="88" t="s">
        <v>180</v>
      </c>
      <c r="C12" s="257" t="s">
        <v>101</v>
      </c>
      <c r="D12" s="89"/>
      <c r="E12" s="58"/>
      <c r="F12" s="58"/>
      <c r="G12" s="58"/>
      <c r="H12" s="59"/>
    </row>
    <row r="13" spans="1:18" ht="12" customHeight="1">
      <c r="A13" s="85"/>
      <c r="B13" s="88"/>
      <c r="C13" s="136" t="s">
        <v>199</v>
      </c>
      <c r="D13" s="89"/>
      <c r="E13" s="58"/>
      <c r="F13" s="58"/>
      <c r="G13" s="58"/>
      <c r="H13" s="59"/>
    </row>
    <row r="14" spans="1:18" ht="12" customHeight="1">
      <c r="A14" s="85"/>
      <c r="B14" s="88"/>
      <c r="C14" s="136" t="s">
        <v>368</v>
      </c>
      <c r="D14" s="89"/>
      <c r="E14" s="58"/>
      <c r="F14" s="58"/>
      <c r="G14" s="58"/>
      <c r="H14" s="59"/>
    </row>
    <row r="15" spans="1:18" ht="12" customHeight="1">
      <c r="A15" s="85">
        <f>A12+1</f>
        <v>3</v>
      </c>
      <c r="B15" s="88" t="s">
        <v>55</v>
      </c>
      <c r="C15" s="257" t="s">
        <v>226</v>
      </c>
      <c r="D15" s="89"/>
      <c r="E15" s="58"/>
      <c r="F15" s="58"/>
      <c r="G15" s="58"/>
      <c r="H15" s="59"/>
    </row>
    <row r="16" spans="1:18" ht="12" customHeight="1">
      <c r="A16" s="85">
        <f t="shared" ref="A16:A18" si="0">A15+1</f>
        <v>4</v>
      </c>
      <c r="B16" s="88" t="s">
        <v>56</v>
      </c>
      <c r="C16" s="257" t="s">
        <v>157</v>
      </c>
      <c r="D16" s="89"/>
      <c r="E16" s="58"/>
      <c r="F16" s="58"/>
      <c r="G16" s="58"/>
      <c r="H16" s="59"/>
    </row>
    <row r="17" spans="1:8" ht="12" customHeight="1">
      <c r="A17" s="85">
        <f t="shared" si="0"/>
        <v>5</v>
      </c>
      <c r="B17" s="88" t="s">
        <v>142</v>
      </c>
      <c r="C17" s="257" t="s">
        <v>68</v>
      </c>
      <c r="D17" s="89"/>
      <c r="E17" s="58"/>
      <c r="F17" s="58"/>
      <c r="G17" s="58"/>
      <c r="H17" s="59"/>
    </row>
    <row r="18" spans="1:8" ht="12" customHeight="1">
      <c r="A18" s="85">
        <f t="shared" si="0"/>
        <v>6</v>
      </c>
      <c r="B18" s="88" t="s">
        <v>57</v>
      </c>
      <c r="C18" s="257" t="s">
        <v>198</v>
      </c>
      <c r="D18" s="89"/>
      <c r="E18" s="58"/>
      <c r="F18" s="58"/>
      <c r="G18" s="58"/>
      <c r="H18" s="59"/>
    </row>
    <row r="19" spans="1:8" ht="24">
      <c r="A19" s="85"/>
      <c r="B19" s="88"/>
      <c r="C19" s="261" t="s">
        <v>311</v>
      </c>
      <c r="D19" s="89"/>
      <c r="E19" s="58"/>
      <c r="F19" s="58"/>
      <c r="G19" s="58"/>
      <c r="H19" s="59"/>
    </row>
    <row r="20" spans="1:8" ht="12" customHeight="1">
      <c r="A20" s="85">
        <f>A18+1</f>
        <v>7</v>
      </c>
      <c r="B20" s="88" t="s">
        <v>169</v>
      </c>
      <c r="C20" s="257" t="s">
        <v>226</v>
      </c>
      <c r="D20" s="89"/>
      <c r="E20" s="58"/>
      <c r="F20" s="58"/>
      <c r="G20" s="58"/>
      <c r="H20" s="59"/>
    </row>
    <row r="21" spans="1:8" ht="12" customHeight="1">
      <c r="A21" s="85">
        <f t="shared" ref="A21:A28" si="1">A20+1</f>
        <v>8</v>
      </c>
      <c r="B21" s="88" t="s">
        <v>58</v>
      </c>
      <c r="C21" s="257" t="s">
        <v>157</v>
      </c>
      <c r="D21" s="89"/>
      <c r="E21" s="58"/>
      <c r="F21" s="58"/>
      <c r="G21" s="58"/>
      <c r="H21" s="59"/>
    </row>
    <row r="22" spans="1:8" ht="12" customHeight="1">
      <c r="A22" s="85">
        <f t="shared" si="1"/>
        <v>9</v>
      </c>
      <c r="B22" s="88" t="s">
        <v>59</v>
      </c>
      <c r="C22" s="257" t="s">
        <v>68</v>
      </c>
      <c r="D22" s="89"/>
      <c r="E22" s="58"/>
      <c r="F22" s="58"/>
      <c r="G22" s="58"/>
      <c r="H22" s="59"/>
    </row>
    <row r="23" spans="1:8" ht="12" customHeight="1">
      <c r="A23" s="85">
        <f t="shared" si="1"/>
        <v>10</v>
      </c>
      <c r="B23" s="88" t="s">
        <v>60</v>
      </c>
      <c r="C23" s="257" t="s">
        <v>198</v>
      </c>
      <c r="D23" s="89"/>
      <c r="E23" s="58"/>
      <c r="F23" s="58"/>
      <c r="G23" s="58"/>
      <c r="H23" s="59"/>
    </row>
    <row r="24" spans="1:8" ht="12" customHeight="1">
      <c r="A24" s="85">
        <f t="shared" si="1"/>
        <v>11</v>
      </c>
      <c r="B24" s="88" t="s">
        <v>221</v>
      </c>
      <c r="C24" s="257" t="s">
        <v>104</v>
      </c>
      <c r="D24" s="89"/>
      <c r="E24" s="58"/>
      <c r="F24" s="58"/>
      <c r="G24" s="58"/>
      <c r="H24" s="59"/>
    </row>
    <row r="25" spans="1:8" ht="12" customHeight="1">
      <c r="A25" s="85">
        <f t="shared" si="1"/>
        <v>12</v>
      </c>
      <c r="B25" s="88" t="s">
        <v>308</v>
      </c>
      <c r="C25" s="257" t="s">
        <v>69</v>
      </c>
      <c r="D25" s="89"/>
      <c r="E25" s="58"/>
      <c r="F25" s="58"/>
      <c r="G25" s="58"/>
      <c r="H25" s="59"/>
    </row>
    <row r="26" spans="1:8" ht="12" customHeight="1">
      <c r="A26" s="85">
        <f t="shared" si="1"/>
        <v>13</v>
      </c>
      <c r="B26" s="88" t="s">
        <v>309</v>
      </c>
      <c r="C26" s="257" t="s">
        <v>70</v>
      </c>
      <c r="D26" s="89"/>
      <c r="E26" s="58"/>
      <c r="F26" s="58"/>
      <c r="G26" s="58"/>
      <c r="H26" s="59"/>
    </row>
    <row r="27" spans="1:8" ht="12" customHeight="1">
      <c r="A27" s="85">
        <f t="shared" si="1"/>
        <v>14</v>
      </c>
      <c r="B27" s="88" t="s">
        <v>310</v>
      </c>
      <c r="C27" s="257" t="s">
        <v>168</v>
      </c>
      <c r="D27" s="89"/>
      <c r="E27" s="58"/>
      <c r="F27" s="58"/>
      <c r="G27" s="58"/>
      <c r="H27" s="59"/>
    </row>
    <row r="28" spans="1:8" ht="12" customHeight="1">
      <c r="A28" s="85">
        <f t="shared" si="1"/>
        <v>15</v>
      </c>
      <c r="B28" s="88" t="s">
        <v>739</v>
      </c>
      <c r="C28" s="257" t="s">
        <v>740</v>
      </c>
      <c r="D28" s="89"/>
      <c r="E28" s="58"/>
      <c r="F28" s="58"/>
      <c r="G28" s="58"/>
      <c r="H28" s="59"/>
    </row>
    <row r="29" spans="1:8">
      <c r="A29" s="85"/>
      <c r="B29" s="88"/>
      <c r="C29" s="165" t="s">
        <v>328</v>
      </c>
      <c r="D29" s="90"/>
      <c r="E29" s="58"/>
      <c r="F29" s="58"/>
      <c r="G29" s="58"/>
      <c r="H29" s="59"/>
    </row>
    <row r="30" spans="1:8" ht="12" customHeight="1">
      <c r="A30" s="85">
        <f>A28+1</f>
        <v>16</v>
      </c>
      <c r="B30" s="88" t="s">
        <v>143</v>
      </c>
      <c r="C30" s="258" t="s">
        <v>257</v>
      </c>
      <c r="D30" s="89"/>
      <c r="E30" s="166"/>
      <c r="F30" s="166"/>
      <c r="G30" s="166"/>
      <c r="H30" s="167"/>
    </row>
    <row r="31" spans="1:8" ht="12" customHeight="1">
      <c r="A31" s="85">
        <f t="shared" ref="A31:A35" si="2">A30+1</f>
        <v>17</v>
      </c>
      <c r="B31" s="88" t="s">
        <v>66</v>
      </c>
      <c r="C31" s="258" t="s">
        <v>217</v>
      </c>
      <c r="D31" s="89"/>
      <c r="E31" s="166"/>
      <c r="F31" s="166"/>
      <c r="G31" s="166"/>
      <c r="H31" s="167"/>
    </row>
    <row r="32" spans="1:8" ht="12" customHeight="1">
      <c r="A32" s="85">
        <f t="shared" si="2"/>
        <v>18</v>
      </c>
      <c r="B32" s="88" t="s">
        <v>84</v>
      </c>
      <c r="C32" s="258" t="s">
        <v>218</v>
      </c>
      <c r="D32" s="89"/>
      <c r="E32" s="166"/>
      <c r="F32" s="166"/>
      <c r="G32" s="166"/>
      <c r="H32" s="167"/>
    </row>
    <row r="33" spans="1:18" ht="12" customHeight="1">
      <c r="A33" s="85">
        <f t="shared" si="2"/>
        <v>19</v>
      </c>
      <c r="B33" s="88" t="s">
        <v>86</v>
      </c>
      <c r="C33" s="258" t="s">
        <v>87</v>
      </c>
      <c r="D33" s="89"/>
      <c r="E33" s="166"/>
      <c r="F33" s="166"/>
      <c r="G33" s="166"/>
      <c r="H33" s="167"/>
    </row>
    <row r="34" spans="1:18" ht="12" customHeight="1">
      <c r="A34" s="85">
        <f t="shared" si="2"/>
        <v>20</v>
      </c>
      <c r="B34" s="88" t="s">
        <v>216</v>
      </c>
      <c r="C34" s="152" t="s">
        <v>85</v>
      </c>
      <c r="D34" s="89"/>
      <c r="E34" s="166"/>
      <c r="F34" s="166"/>
      <c r="G34" s="166"/>
      <c r="H34" s="167"/>
    </row>
    <row r="35" spans="1:18" ht="12" customHeight="1">
      <c r="A35" s="85">
        <f t="shared" si="2"/>
        <v>21</v>
      </c>
      <c r="B35" s="88" t="s">
        <v>256</v>
      </c>
      <c r="C35" s="258" t="s">
        <v>219</v>
      </c>
      <c r="D35" s="89"/>
      <c r="E35" s="166"/>
      <c r="F35" s="166"/>
      <c r="G35" s="166"/>
      <c r="H35" s="167"/>
    </row>
    <row r="36" spans="1:18">
      <c r="A36" s="85"/>
      <c r="B36" s="88"/>
      <c r="C36" s="165" t="s">
        <v>220</v>
      </c>
      <c r="D36" s="209"/>
      <c r="E36" s="209"/>
      <c r="F36" s="209"/>
      <c r="G36" s="209"/>
      <c r="H36" s="210"/>
    </row>
    <row r="37" spans="1:18" s="94" customFormat="1" ht="12" customHeight="1">
      <c r="A37" s="208">
        <f>A35+1</f>
        <v>22</v>
      </c>
      <c r="B37" s="88" t="s">
        <v>225</v>
      </c>
      <c r="C37" s="152" t="s">
        <v>223</v>
      </c>
      <c r="D37" s="89"/>
      <c r="E37" s="212"/>
      <c r="F37" s="212"/>
      <c r="G37" s="212"/>
      <c r="H37" s="213"/>
    </row>
    <row r="38" spans="1:18" s="94" customFormat="1" ht="12" customHeight="1">
      <c r="A38" s="85">
        <f>A37+1</f>
        <v>23</v>
      </c>
      <c r="B38" s="88" t="s">
        <v>1133</v>
      </c>
      <c r="C38" s="257" t="s">
        <v>224</v>
      </c>
      <c r="D38" s="284"/>
      <c r="E38" s="284"/>
      <c r="F38" s="284"/>
      <c r="G38" s="284"/>
      <c r="H38" s="285"/>
    </row>
    <row r="39" spans="1:18" s="94" customFormat="1" ht="12" customHeight="1">
      <c r="A39" s="85">
        <f>A38+1</f>
        <v>24</v>
      </c>
      <c r="B39" s="88" t="s">
        <v>1256</v>
      </c>
      <c r="C39" s="257" t="s">
        <v>1257</v>
      </c>
      <c r="D39" s="284"/>
      <c r="E39" s="284"/>
      <c r="F39" s="284"/>
      <c r="G39" s="284"/>
      <c r="H39" s="285"/>
    </row>
    <row r="40" spans="1:18">
      <c r="A40" s="279"/>
      <c r="B40" s="280"/>
      <c r="C40" s="261" t="s">
        <v>332</v>
      </c>
      <c r="D40" s="281"/>
      <c r="E40" s="282"/>
      <c r="F40" s="282"/>
      <c r="G40" s="282"/>
      <c r="H40" s="283"/>
    </row>
    <row r="41" spans="1:18" ht="12" customHeight="1" thickBot="1">
      <c r="A41" s="148">
        <v>25</v>
      </c>
      <c r="B41" s="323" t="s">
        <v>333</v>
      </c>
      <c r="C41" s="211" t="s">
        <v>222</v>
      </c>
      <c r="D41" s="286"/>
      <c r="E41" s="287"/>
      <c r="F41" s="287"/>
      <c r="G41" s="287"/>
      <c r="H41" s="288"/>
    </row>
    <row r="42" spans="1:18" s="93" customFormat="1" ht="13.5" thickTop="1">
      <c r="A42" s="60"/>
      <c r="B42" s="61"/>
      <c r="C42" s="61" t="s">
        <v>23</v>
      </c>
      <c r="D42" s="62"/>
      <c r="E42" s="62"/>
      <c r="F42" s="62"/>
      <c r="G42" s="62"/>
      <c r="H42" s="63"/>
      <c r="J42" s="95">
        <f>H42/320</f>
        <v>0</v>
      </c>
    </row>
    <row r="43" spans="1:18" s="93" customFormat="1" ht="12" customHeight="1">
      <c r="A43" s="60"/>
      <c r="B43" s="61"/>
      <c r="C43" s="70" t="s">
        <v>1584</v>
      </c>
      <c r="D43" s="62"/>
      <c r="E43" s="62"/>
      <c r="F43" s="62"/>
      <c r="G43" s="62"/>
      <c r="H43" s="63"/>
      <c r="J43" s="95"/>
    </row>
    <row r="44" spans="1:18" s="93" customFormat="1" ht="13.5" thickBot="1">
      <c r="A44" s="74"/>
      <c r="B44" s="75"/>
      <c r="C44" s="75" t="s">
        <v>65</v>
      </c>
      <c r="D44" s="76"/>
      <c r="E44" s="76"/>
      <c r="F44" s="76"/>
      <c r="G44" s="76"/>
      <c r="H44" s="77"/>
      <c r="J44" s="95"/>
    </row>
    <row r="45" spans="1:18" s="93" customFormat="1" ht="12" customHeight="1" thickTop="1">
      <c r="A45" s="71"/>
      <c r="B45" s="61"/>
      <c r="C45" s="78" t="s">
        <v>1585</v>
      </c>
      <c r="D45" s="72"/>
      <c r="E45" s="72"/>
      <c r="F45" s="72"/>
      <c r="G45" s="72"/>
      <c r="H45" s="73"/>
    </row>
    <row r="46" spans="1:18" s="93" customFormat="1" ht="12" customHeight="1" thickBot="1">
      <c r="A46" s="83"/>
      <c r="B46" s="75"/>
      <c r="C46" s="84" t="s">
        <v>1586</v>
      </c>
      <c r="D46" s="76"/>
      <c r="E46" s="76"/>
      <c r="F46" s="76"/>
      <c r="G46" s="76"/>
      <c r="H46" s="77"/>
    </row>
    <row r="47" spans="1:18" s="93" customFormat="1" ht="14.25" thickTop="1" thickBot="1">
      <c r="A47" s="79"/>
      <c r="B47" s="80"/>
      <c r="C47" s="80" t="s">
        <v>49</v>
      </c>
      <c r="D47" s="81"/>
      <c r="E47" s="81"/>
      <c r="F47" s="81"/>
      <c r="G47" s="81"/>
      <c r="H47" s="82"/>
      <c r="I47" s="95"/>
      <c r="R47" s="130"/>
    </row>
    <row r="49" spans="1:10" s="64" customFormat="1" ht="15">
      <c r="A49" s="98"/>
      <c r="B49" s="50"/>
      <c r="C49" s="23"/>
      <c r="D49" s="361"/>
      <c r="E49" s="361"/>
      <c r="F49" s="96"/>
      <c r="G49" s="96"/>
      <c r="H49" s="96"/>
      <c r="I49" s="96"/>
      <c r="J49" s="50"/>
    </row>
    <row r="50" spans="1:10" s="64" customFormat="1" ht="15">
      <c r="A50" s="50"/>
      <c r="B50" s="172" t="s">
        <v>209</v>
      </c>
      <c r="C50" s="66"/>
      <c r="D50" s="67"/>
      <c r="E50" s="96"/>
      <c r="F50" s="96"/>
      <c r="G50" s="96"/>
      <c r="H50" s="96"/>
      <c r="I50" s="96"/>
      <c r="J50" s="50"/>
    </row>
    <row r="52" spans="1:10" ht="18">
      <c r="C52" s="259"/>
      <c r="D52" s="361">
        <f ca="1">TODAY()</f>
        <v>43206</v>
      </c>
      <c r="E52" s="361"/>
    </row>
    <row r="1194" spans="4:8">
      <c r="E1194" s="97"/>
      <c r="F1194" s="97"/>
      <c r="G1194" s="97"/>
    </row>
    <row r="1195" spans="4:8">
      <c r="D1195" s="97"/>
      <c r="E1195" s="97"/>
      <c r="F1195" s="97"/>
      <c r="G1195" s="97"/>
      <c r="H1195" s="97"/>
    </row>
    <row r="1196" spans="4:8">
      <c r="D1196" s="97"/>
      <c r="E1196" s="97"/>
      <c r="F1196" s="97"/>
      <c r="G1196" s="97"/>
    </row>
  </sheetData>
  <mergeCells count="8">
    <mergeCell ref="D52:E52"/>
    <mergeCell ref="D49:E49"/>
    <mergeCell ref="A1:H1"/>
    <mergeCell ref="A7:A8"/>
    <mergeCell ref="B7:B8"/>
    <mergeCell ref="C7:C8"/>
    <mergeCell ref="D7:D8"/>
    <mergeCell ref="E7:H7"/>
  </mergeCells>
  <printOptions horizontalCentered="1"/>
  <pageMargins left="0.51181102362204722" right="0.51181102362204722" top="0.78740157480314965" bottom="0.59055118110236227" header="0.31496062992125984" footer="0.31496062992125984"/>
  <pageSetup paperSize="9" scale="85" orientation="portrait" r:id="rId1"/>
  <headerFooter>
    <oddFooter>&amp;L&amp;"Arial,полужирный"&amp;8&amp;A&amp;C&amp;8Page &amp;P of &amp;N&amp;R&amp;"Arial,полужирный"&amp;8&amp;F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G180"/>
  <sheetViews>
    <sheetView topLeftCell="A40" zoomScaleNormal="100" workbookViewId="0">
      <selection activeCell="J65" sqref="J65"/>
    </sheetView>
  </sheetViews>
  <sheetFormatPr defaultColWidth="9.140625" defaultRowHeight="12.75"/>
  <cols>
    <col min="1" max="1" width="6.5703125" style="117" customWidth="1"/>
    <col min="2" max="2" width="36.28515625" style="117" customWidth="1"/>
    <col min="3" max="3" width="6.7109375" style="117" customWidth="1"/>
    <col min="4" max="4" width="7.140625" style="117" customWidth="1"/>
    <col min="5" max="9" width="9" style="117" customWidth="1"/>
    <col min="10" max="10" width="9.7109375" style="117" customWidth="1"/>
    <col min="11" max="12" width="9.28515625" style="117" customWidth="1"/>
    <col min="13" max="13" width="10.140625" style="117" customWidth="1"/>
    <col min="14" max="14" width="9.28515625" style="117" customWidth="1"/>
    <col min="15" max="15" width="12" style="117" customWidth="1"/>
    <col min="16" max="16" width="11.7109375" style="117" bestFit="1" customWidth="1"/>
    <col min="17" max="16384" width="9.140625" style="117"/>
  </cols>
  <sheetData>
    <row r="1" spans="1:16" s="102" customFormat="1" ht="14.25">
      <c r="A1" s="396" t="s">
        <v>182</v>
      </c>
      <c r="B1" s="396"/>
      <c r="C1" s="396"/>
      <c r="D1" s="396"/>
      <c r="E1" s="396"/>
      <c r="F1" s="396"/>
      <c r="G1" s="396"/>
      <c r="H1" s="396"/>
      <c r="I1" s="396"/>
      <c r="J1" s="396"/>
      <c r="K1" s="396"/>
      <c r="L1" s="396"/>
      <c r="M1" s="396"/>
      <c r="N1" s="396"/>
      <c r="O1" s="396"/>
    </row>
    <row r="2" spans="1:16" s="102" customFormat="1" ht="14.25">
      <c r="A2" s="397" t="str">
        <f>Kopsavilkums!C22</f>
        <v>Jumts</v>
      </c>
      <c r="B2" s="397"/>
      <c r="C2" s="397"/>
      <c r="D2" s="397"/>
      <c r="E2" s="397"/>
      <c r="F2" s="397"/>
      <c r="G2" s="397"/>
      <c r="H2" s="397"/>
      <c r="I2" s="397"/>
      <c r="J2" s="397"/>
      <c r="K2" s="397"/>
      <c r="L2" s="397"/>
      <c r="M2" s="397"/>
      <c r="N2" s="397"/>
      <c r="O2" s="397"/>
    </row>
    <row r="3" spans="1:16" s="102" customFormat="1" ht="14.25">
      <c r="A3" s="321"/>
      <c r="B3" s="321"/>
      <c r="C3" s="321"/>
      <c r="D3" s="321"/>
      <c r="E3" s="321"/>
      <c r="F3" s="321"/>
      <c r="G3" s="321"/>
      <c r="H3" s="321"/>
      <c r="I3" s="321"/>
      <c r="J3" s="321"/>
      <c r="K3" s="321"/>
      <c r="L3" s="321"/>
      <c r="M3" s="321"/>
      <c r="N3" s="321"/>
      <c r="O3" s="321"/>
    </row>
    <row r="4" spans="1:16" s="102" customFormat="1" ht="14.25">
      <c r="A4" s="115" t="s">
        <v>1246</v>
      </c>
      <c r="B4" s="177"/>
      <c r="C4" s="177"/>
      <c r="D4" s="177"/>
      <c r="E4" s="177"/>
      <c r="F4" s="177"/>
      <c r="G4" s="177"/>
      <c r="H4" s="177"/>
      <c r="I4" s="177"/>
      <c r="J4" s="177"/>
      <c r="K4" s="177"/>
      <c r="L4" s="177"/>
      <c r="M4" s="177"/>
      <c r="N4" s="177"/>
      <c r="O4" s="177"/>
    </row>
    <row r="5" spans="1:16" s="102" customFormat="1" ht="14.25">
      <c r="A5" s="115" t="s">
        <v>307</v>
      </c>
      <c r="B5" s="177"/>
      <c r="C5" s="177"/>
      <c r="D5" s="177"/>
      <c r="E5" s="177"/>
      <c r="F5" s="177"/>
      <c r="G5" s="177"/>
      <c r="H5" s="177"/>
      <c r="I5" s="177"/>
      <c r="J5" s="177"/>
      <c r="K5" s="177"/>
      <c r="L5" s="177"/>
      <c r="M5" s="177"/>
      <c r="N5" s="177"/>
      <c r="O5" s="177"/>
    </row>
    <row r="6" spans="1:16" s="102" customFormat="1" ht="14.25">
      <c r="A6" s="115" t="s">
        <v>306</v>
      </c>
      <c r="B6" s="177"/>
      <c r="C6" s="177"/>
      <c r="D6" s="177"/>
      <c r="E6" s="177"/>
      <c r="F6" s="177"/>
      <c r="G6" s="177"/>
      <c r="H6" s="177"/>
      <c r="I6" s="177"/>
      <c r="J6" s="177"/>
      <c r="K6" s="177"/>
      <c r="L6" s="177"/>
      <c r="M6" s="177"/>
      <c r="N6" s="177"/>
      <c r="O6" s="177"/>
    </row>
    <row r="7" spans="1:16" s="102" customFormat="1" ht="14.25">
      <c r="A7" s="115"/>
      <c r="B7" s="177"/>
      <c r="C7" s="177"/>
      <c r="D7" s="177"/>
      <c r="E7" s="177"/>
      <c r="F7" s="177"/>
      <c r="G7" s="177"/>
      <c r="H7" s="177"/>
      <c r="I7" s="177"/>
      <c r="J7" s="177"/>
      <c r="K7" s="177"/>
      <c r="L7" s="177"/>
      <c r="M7" s="177"/>
      <c r="N7" s="177"/>
      <c r="O7" s="177"/>
    </row>
    <row r="8" spans="1:16" ht="13.5" thickBot="1">
      <c r="E8" s="133"/>
      <c r="F8" s="133"/>
      <c r="G8" s="133"/>
      <c r="H8" s="133"/>
      <c r="I8" s="133"/>
      <c r="J8" s="403" t="s">
        <v>13</v>
      </c>
      <c r="K8" s="403"/>
      <c r="L8" s="403"/>
      <c r="M8" s="403"/>
      <c r="N8" s="404" t="e">
        <f>#REF!</f>
        <v>#REF!</v>
      </c>
      <c r="O8" s="404"/>
    </row>
    <row r="9" spans="1:16" s="133" customFormat="1" ht="12.75" customHeight="1">
      <c r="A9" s="378" t="s">
        <v>27</v>
      </c>
      <c r="B9" s="381" t="s">
        <v>28</v>
      </c>
      <c r="C9" s="381" t="s">
        <v>17</v>
      </c>
      <c r="D9" s="381" t="s">
        <v>19</v>
      </c>
      <c r="E9" s="390" t="s">
        <v>15</v>
      </c>
      <c r="F9" s="391"/>
      <c r="G9" s="391"/>
      <c r="H9" s="391"/>
      <c r="I9" s="391"/>
      <c r="J9" s="392"/>
      <c r="K9" s="390" t="s">
        <v>16</v>
      </c>
      <c r="L9" s="391"/>
      <c r="M9" s="391"/>
      <c r="N9" s="391"/>
      <c r="O9" s="393"/>
    </row>
    <row r="10" spans="1:16" s="133" customFormat="1" ht="12.75" customHeight="1">
      <c r="A10" s="379"/>
      <c r="B10" s="382"/>
      <c r="C10" s="382"/>
      <c r="D10" s="382"/>
      <c r="E10" s="394" t="s">
        <v>18</v>
      </c>
      <c r="F10" s="375" t="s">
        <v>119</v>
      </c>
      <c r="G10" s="375" t="s">
        <v>120</v>
      </c>
      <c r="H10" s="375" t="s">
        <v>121</v>
      </c>
      <c r="I10" s="375" t="s">
        <v>122</v>
      </c>
      <c r="J10" s="372" t="s">
        <v>125</v>
      </c>
      <c r="K10" s="375" t="s">
        <v>20</v>
      </c>
      <c r="L10" s="375" t="s">
        <v>123</v>
      </c>
      <c r="M10" s="375" t="s">
        <v>121</v>
      </c>
      <c r="N10" s="375" t="s">
        <v>122</v>
      </c>
      <c r="O10" s="384" t="s">
        <v>124</v>
      </c>
    </row>
    <row r="11" spans="1:16" s="133" customFormat="1">
      <c r="A11" s="379"/>
      <c r="B11" s="382"/>
      <c r="C11" s="382"/>
      <c r="D11" s="382"/>
      <c r="E11" s="394"/>
      <c r="F11" s="376"/>
      <c r="G11" s="376"/>
      <c r="H11" s="376"/>
      <c r="I11" s="376"/>
      <c r="J11" s="373"/>
      <c r="K11" s="376"/>
      <c r="L11" s="376"/>
      <c r="M11" s="376"/>
      <c r="N11" s="376"/>
      <c r="O11" s="385"/>
    </row>
    <row r="12" spans="1:16" s="133" customFormat="1">
      <c r="A12" s="379"/>
      <c r="B12" s="382"/>
      <c r="C12" s="382"/>
      <c r="D12" s="382"/>
      <c r="E12" s="394"/>
      <c r="F12" s="376"/>
      <c r="G12" s="376"/>
      <c r="H12" s="376"/>
      <c r="I12" s="376"/>
      <c r="J12" s="373"/>
      <c r="K12" s="376"/>
      <c r="L12" s="376"/>
      <c r="M12" s="376"/>
      <c r="N12" s="376"/>
      <c r="O12" s="385"/>
    </row>
    <row r="13" spans="1:16" s="133" customFormat="1" ht="13.5" thickBot="1">
      <c r="A13" s="380"/>
      <c r="B13" s="383"/>
      <c r="C13" s="383"/>
      <c r="D13" s="383"/>
      <c r="E13" s="395"/>
      <c r="F13" s="377"/>
      <c r="G13" s="377"/>
      <c r="H13" s="377"/>
      <c r="I13" s="377"/>
      <c r="J13" s="374"/>
      <c r="K13" s="377"/>
      <c r="L13" s="377"/>
      <c r="M13" s="377"/>
      <c r="N13" s="377"/>
      <c r="O13" s="386"/>
    </row>
    <row r="14" spans="1:16" s="133" customFormat="1" ht="14.25" thickTop="1" thickBot="1">
      <c r="A14" s="52">
        <v>1</v>
      </c>
      <c r="B14" s="53">
        <v>2</v>
      </c>
      <c r="C14" s="53">
        <v>3</v>
      </c>
      <c r="D14" s="53">
        <v>4</v>
      </c>
      <c r="E14" s="53">
        <v>5</v>
      </c>
      <c r="F14" s="53">
        <v>6</v>
      </c>
      <c r="G14" s="53">
        <v>7</v>
      </c>
      <c r="H14" s="53">
        <v>8</v>
      </c>
      <c r="I14" s="53">
        <v>9</v>
      </c>
      <c r="J14" s="54">
        <v>10</v>
      </c>
      <c r="K14" s="53">
        <v>11</v>
      </c>
      <c r="L14" s="54">
        <v>12</v>
      </c>
      <c r="M14" s="53">
        <v>13</v>
      </c>
      <c r="N14" s="54">
        <v>14</v>
      </c>
      <c r="O14" s="55">
        <v>15</v>
      </c>
    </row>
    <row r="15" spans="1:16" s="25" customFormat="1" ht="15" thickTop="1">
      <c r="A15" s="106"/>
      <c r="B15" s="180" t="s">
        <v>1239</v>
      </c>
      <c r="C15" s="13"/>
      <c r="D15" s="9"/>
      <c r="E15" s="33"/>
      <c r="F15" s="33"/>
      <c r="G15" s="4"/>
      <c r="H15" s="4"/>
      <c r="I15" s="4"/>
      <c r="J15" s="4"/>
      <c r="K15" s="4"/>
      <c r="L15" s="4"/>
      <c r="M15" s="4"/>
      <c r="N15" s="4"/>
      <c r="O15" s="20"/>
      <c r="P15" s="117"/>
    </row>
    <row r="16" spans="1:16">
      <c r="A16" s="106">
        <f t="shared" ref="A16:A61" si="0">A15+1</f>
        <v>1</v>
      </c>
      <c r="B16" s="2" t="s">
        <v>163</v>
      </c>
      <c r="C16" s="116" t="s">
        <v>14</v>
      </c>
      <c r="D16" s="9">
        <v>1038</v>
      </c>
      <c r="E16" s="33"/>
      <c r="F16" s="4"/>
      <c r="G16" s="4"/>
      <c r="H16" s="112"/>
      <c r="I16" s="112"/>
      <c r="J16" s="337"/>
      <c r="K16" s="338"/>
      <c r="L16" s="338"/>
      <c r="M16" s="338"/>
      <c r="N16" s="338"/>
      <c r="O16" s="339"/>
    </row>
    <row r="17" spans="1:57" s="25" customFormat="1" ht="24">
      <c r="A17" s="19" t="s">
        <v>72</v>
      </c>
      <c r="B17" s="21" t="s">
        <v>1145</v>
      </c>
      <c r="C17" s="116" t="s">
        <v>14</v>
      </c>
      <c r="D17" s="9">
        <f>D16</f>
        <v>1038</v>
      </c>
      <c r="E17" s="36"/>
      <c r="F17" s="4"/>
      <c r="G17" s="4"/>
      <c r="H17" s="4"/>
      <c r="I17" s="4"/>
      <c r="J17" s="337"/>
      <c r="K17" s="338"/>
      <c r="L17" s="338"/>
      <c r="M17" s="338"/>
      <c r="N17" s="338"/>
      <c r="O17" s="339"/>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row>
    <row r="18" spans="1:57" s="25" customFormat="1" ht="24.95" customHeight="1">
      <c r="A18" s="19" t="s">
        <v>73</v>
      </c>
      <c r="B18" s="21" t="s">
        <v>164</v>
      </c>
      <c r="C18" s="13" t="s">
        <v>21</v>
      </c>
      <c r="D18" s="14">
        <v>5</v>
      </c>
      <c r="E18" s="36"/>
      <c r="F18" s="36"/>
      <c r="G18" s="33"/>
      <c r="H18" s="4"/>
      <c r="I18" s="4"/>
      <c r="J18" s="337"/>
      <c r="K18" s="338"/>
      <c r="L18" s="338"/>
      <c r="M18" s="338"/>
      <c r="N18" s="338"/>
      <c r="O18" s="339"/>
    </row>
    <row r="19" spans="1:57" s="25" customFormat="1" ht="14.25">
      <c r="A19" s="106">
        <v>2</v>
      </c>
      <c r="B19" s="49" t="s">
        <v>118</v>
      </c>
      <c r="C19" s="13" t="s">
        <v>14</v>
      </c>
      <c r="D19" s="9">
        <v>1038</v>
      </c>
      <c r="E19" s="33"/>
      <c r="F19" s="4"/>
      <c r="G19" s="4"/>
      <c r="H19" s="34"/>
      <c r="I19" s="4"/>
      <c r="J19" s="337"/>
      <c r="K19" s="338"/>
      <c r="L19" s="338"/>
      <c r="M19" s="338"/>
      <c r="N19" s="338"/>
      <c r="O19" s="339"/>
    </row>
    <row r="20" spans="1:57" s="25" customFormat="1" ht="14.25">
      <c r="A20" s="19" t="s">
        <v>1372</v>
      </c>
      <c r="B20" s="24" t="s">
        <v>165</v>
      </c>
      <c r="C20" s="99" t="s">
        <v>14</v>
      </c>
      <c r="D20" s="100">
        <f>ROUND(D19*1.15,2)</f>
        <v>1193.7</v>
      </c>
      <c r="E20" s="4"/>
      <c r="F20" s="4"/>
      <c r="G20" s="4"/>
      <c r="H20" s="4"/>
      <c r="I20" s="4"/>
      <c r="J20" s="337"/>
      <c r="K20" s="338"/>
      <c r="L20" s="338"/>
      <c r="M20" s="338"/>
      <c r="N20" s="338"/>
      <c r="O20" s="339"/>
    </row>
    <row r="21" spans="1:57" s="18" customFormat="1" ht="14.25">
      <c r="A21" s="106">
        <v>3</v>
      </c>
      <c r="B21" s="2" t="s">
        <v>1236</v>
      </c>
      <c r="C21" s="116" t="s">
        <v>14</v>
      </c>
      <c r="D21" s="14">
        <f>D16</f>
        <v>1038</v>
      </c>
      <c r="E21" s="132"/>
      <c r="F21" s="33"/>
      <c r="G21" s="4"/>
      <c r="H21" s="34"/>
      <c r="I21" s="4"/>
      <c r="J21" s="337"/>
      <c r="K21" s="338"/>
      <c r="L21" s="338"/>
      <c r="M21" s="338"/>
      <c r="N21" s="338"/>
      <c r="O21" s="339"/>
    </row>
    <row r="22" spans="1:57" s="25" customFormat="1" ht="14.25">
      <c r="A22" s="19" t="s">
        <v>1376</v>
      </c>
      <c r="B22" s="21" t="s">
        <v>1237</v>
      </c>
      <c r="C22" s="13" t="s">
        <v>42</v>
      </c>
      <c r="D22" s="14">
        <f>ROUND(SQRT(D21)/1.2*SQRT(D21)*1.1,1)</f>
        <v>951.5</v>
      </c>
      <c r="E22" s="33"/>
      <c r="F22" s="33"/>
      <c r="G22" s="33"/>
      <c r="H22" s="4"/>
      <c r="I22" s="4"/>
      <c r="J22" s="337"/>
      <c r="K22" s="338"/>
      <c r="L22" s="338"/>
      <c r="M22" s="338"/>
      <c r="N22" s="338"/>
      <c r="O22" s="339"/>
    </row>
    <row r="23" spans="1:57" s="25" customFormat="1" ht="14.25">
      <c r="A23" s="19" t="s">
        <v>1377</v>
      </c>
      <c r="B23" s="24" t="s">
        <v>235</v>
      </c>
      <c r="C23" s="13" t="s">
        <v>30</v>
      </c>
      <c r="D23" s="10">
        <v>1</v>
      </c>
      <c r="E23" s="36"/>
      <c r="F23" s="36"/>
      <c r="G23" s="33"/>
      <c r="H23" s="4"/>
      <c r="I23" s="4"/>
      <c r="J23" s="337"/>
      <c r="K23" s="338"/>
      <c r="L23" s="338"/>
      <c r="M23" s="338"/>
      <c r="N23" s="338"/>
      <c r="O23" s="339"/>
    </row>
    <row r="24" spans="1:57" s="25" customFormat="1" ht="14.25">
      <c r="A24" s="106">
        <v>4</v>
      </c>
      <c r="B24" s="49" t="s">
        <v>289</v>
      </c>
      <c r="C24" s="13" t="s">
        <v>14</v>
      </c>
      <c r="D24" s="9">
        <f>D19</f>
        <v>1038</v>
      </c>
      <c r="E24" s="33"/>
      <c r="F24" s="4"/>
      <c r="G24" s="4"/>
      <c r="H24" s="34"/>
      <c r="I24" s="4"/>
      <c r="J24" s="337"/>
      <c r="K24" s="338"/>
      <c r="L24" s="338"/>
      <c r="M24" s="338"/>
      <c r="N24" s="338"/>
      <c r="O24" s="339"/>
    </row>
    <row r="25" spans="1:57" s="25" customFormat="1" ht="14.25">
      <c r="A25" s="19" t="s">
        <v>1419</v>
      </c>
      <c r="B25" s="21" t="s">
        <v>384</v>
      </c>
      <c r="C25" s="99" t="s">
        <v>14</v>
      </c>
      <c r="D25" s="100">
        <f>ROUND(D24*1.05,2)</f>
        <v>1089.9000000000001</v>
      </c>
      <c r="E25" s="36"/>
      <c r="F25" s="33"/>
      <c r="G25" s="4"/>
      <c r="H25" s="4"/>
      <c r="I25" s="4"/>
      <c r="J25" s="337"/>
      <c r="K25" s="338"/>
      <c r="L25" s="338"/>
      <c r="M25" s="338"/>
      <c r="N25" s="338"/>
      <c r="O25" s="339"/>
    </row>
    <row r="26" spans="1:57" s="25" customFormat="1" ht="14.25">
      <c r="A26" s="19" t="s">
        <v>1420</v>
      </c>
      <c r="B26" s="21" t="s">
        <v>383</v>
      </c>
      <c r="C26" s="99" t="s">
        <v>14</v>
      </c>
      <c r="D26" s="100">
        <f>ROUND(D24*1.05,2)</f>
        <v>1089.9000000000001</v>
      </c>
      <c r="E26" s="36"/>
      <c r="F26" s="33"/>
      <c r="G26" s="4"/>
      <c r="H26" s="4"/>
      <c r="I26" s="4"/>
      <c r="J26" s="337"/>
      <c r="K26" s="338"/>
      <c r="L26" s="338"/>
      <c r="M26" s="338"/>
      <c r="N26" s="338"/>
      <c r="O26" s="339"/>
    </row>
    <row r="27" spans="1:57" s="25" customFormat="1" ht="14.25">
      <c r="A27" s="106">
        <v>5</v>
      </c>
      <c r="B27" s="49" t="s">
        <v>1159</v>
      </c>
      <c r="C27" s="13" t="s">
        <v>14</v>
      </c>
      <c r="D27" s="9">
        <v>1081</v>
      </c>
      <c r="E27" s="33"/>
      <c r="F27" s="4"/>
      <c r="G27" s="4"/>
      <c r="H27" s="34"/>
      <c r="I27" s="4"/>
      <c r="J27" s="337"/>
      <c r="K27" s="338"/>
      <c r="L27" s="338"/>
      <c r="M27" s="338"/>
      <c r="N27" s="338"/>
      <c r="O27" s="339"/>
    </row>
    <row r="28" spans="1:57" s="25" customFormat="1" ht="24">
      <c r="A28" s="19" t="s">
        <v>1369</v>
      </c>
      <c r="B28" s="21" t="s">
        <v>1160</v>
      </c>
      <c r="C28" s="99" t="s">
        <v>14</v>
      </c>
      <c r="D28" s="100">
        <f>ROUND(D27*1.15,2)</f>
        <v>1243.1500000000001</v>
      </c>
      <c r="E28" s="4"/>
      <c r="F28" s="4"/>
      <c r="G28" s="4"/>
      <c r="H28" s="4"/>
      <c r="I28" s="4"/>
      <c r="J28" s="337"/>
      <c r="K28" s="338"/>
      <c r="L28" s="338"/>
      <c r="M28" s="338"/>
      <c r="N28" s="338"/>
      <c r="O28" s="339"/>
    </row>
    <row r="29" spans="1:57">
      <c r="A29" s="106">
        <v>6</v>
      </c>
      <c r="B29" s="2" t="s">
        <v>1161</v>
      </c>
      <c r="C29" s="116" t="s">
        <v>14</v>
      </c>
      <c r="D29" s="9">
        <f>D27</f>
        <v>1081</v>
      </c>
      <c r="E29" s="33"/>
      <c r="F29" s="4"/>
      <c r="G29" s="4"/>
      <c r="H29" s="112"/>
      <c r="I29" s="112"/>
      <c r="J29" s="337"/>
      <c r="K29" s="338"/>
      <c r="L29" s="338"/>
      <c r="M29" s="338"/>
      <c r="N29" s="338"/>
      <c r="O29" s="339"/>
    </row>
    <row r="30" spans="1:57" s="25" customFormat="1" ht="24">
      <c r="A30" s="19" t="s">
        <v>1382</v>
      </c>
      <c r="B30" s="21" t="s">
        <v>1240</v>
      </c>
      <c r="C30" s="116" t="s">
        <v>14</v>
      </c>
      <c r="D30" s="9">
        <f>D29</f>
        <v>1081</v>
      </c>
      <c r="E30" s="36"/>
      <c r="F30" s="4"/>
      <c r="G30" s="4"/>
      <c r="H30" s="4"/>
      <c r="I30" s="4"/>
      <c r="J30" s="337"/>
      <c r="K30" s="338"/>
      <c r="L30" s="338"/>
      <c r="M30" s="338"/>
      <c r="N30" s="338"/>
      <c r="O30" s="339"/>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row>
    <row r="31" spans="1:57" s="25" customFormat="1" ht="24.95" customHeight="1">
      <c r="A31" s="19" t="s">
        <v>1383</v>
      </c>
      <c r="B31" s="21" t="s">
        <v>164</v>
      </c>
      <c r="C31" s="13" t="s">
        <v>21</v>
      </c>
      <c r="D31" s="14">
        <v>5</v>
      </c>
      <c r="E31" s="36"/>
      <c r="F31" s="36"/>
      <c r="G31" s="33"/>
      <c r="H31" s="4"/>
      <c r="I31" s="4"/>
      <c r="J31" s="337"/>
      <c r="K31" s="338"/>
      <c r="L31" s="338"/>
      <c r="M31" s="338"/>
      <c r="N31" s="338"/>
      <c r="O31" s="339"/>
    </row>
    <row r="32" spans="1:57" s="25" customFormat="1" ht="14.25">
      <c r="A32" s="106"/>
      <c r="B32" s="180" t="s">
        <v>1241</v>
      </c>
      <c r="C32" s="13"/>
      <c r="D32" s="9"/>
      <c r="E32" s="33"/>
      <c r="F32" s="33"/>
      <c r="G32" s="4"/>
      <c r="H32" s="4"/>
      <c r="I32" s="4"/>
      <c r="J32" s="4"/>
      <c r="K32" s="4"/>
      <c r="L32" s="4"/>
      <c r="M32" s="4"/>
      <c r="N32" s="4"/>
      <c r="O32" s="20"/>
      <c r="P32" s="117"/>
    </row>
    <row r="33" spans="1:57" s="18" customFormat="1" ht="14.25">
      <c r="A33" s="106">
        <v>7</v>
      </c>
      <c r="B33" s="2" t="s">
        <v>1162</v>
      </c>
      <c r="C33" s="116" t="s">
        <v>14</v>
      </c>
      <c r="D33" s="14">
        <v>831</v>
      </c>
      <c r="E33" s="132"/>
      <c r="F33" s="33"/>
      <c r="G33" s="4"/>
      <c r="H33" s="34"/>
      <c r="I33" s="4"/>
      <c r="J33" s="337"/>
      <c r="K33" s="338"/>
      <c r="L33" s="338"/>
      <c r="M33" s="338"/>
      <c r="N33" s="338"/>
      <c r="O33" s="339"/>
    </row>
    <row r="34" spans="1:57" s="25" customFormat="1" ht="14.25">
      <c r="A34" s="19" t="s">
        <v>268</v>
      </c>
      <c r="B34" s="21" t="s">
        <v>1242</v>
      </c>
      <c r="C34" s="13" t="s">
        <v>42</v>
      </c>
      <c r="D34" s="14">
        <f>ROUND(506.8*1.1,1)</f>
        <v>557.5</v>
      </c>
      <c r="E34" s="33"/>
      <c r="F34" s="33"/>
      <c r="G34" s="33"/>
      <c r="H34" s="4"/>
      <c r="I34" s="4"/>
      <c r="J34" s="337"/>
      <c r="K34" s="338"/>
      <c r="L34" s="338"/>
      <c r="M34" s="338"/>
      <c r="N34" s="338"/>
      <c r="O34" s="339"/>
    </row>
    <row r="35" spans="1:57" s="25" customFormat="1" ht="14.25">
      <c r="A35" s="19" t="s">
        <v>269</v>
      </c>
      <c r="B35" s="24" t="s">
        <v>235</v>
      </c>
      <c r="C35" s="13" t="s">
        <v>30</v>
      </c>
      <c r="D35" s="10">
        <v>1</v>
      </c>
      <c r="E35" s="36"/>
      <c r="F35" s="36"/>
      <c r="G35" s="33"/>
      <c r="H35" s="4"/>
      <c r="I35" s="4"/>
      <c r="J35" s="337"/>
      <c r="K35" s="338"/>
      <c r="L35" s="338"/>
      <c r="M35" s="338"/>
      <c r="N35" s="338"/>
      <c r="O35" s="339"/>
    </row>
    <row r="36" spans="1:57">
      <c r="A36" s="106">
        <v>8</v>
      </c>
      <c r="B36" s="2" t="s">
        <v>1161</v>
      </c>
      <c r="C36" s="116" t="s">
        <v>14</v>
      </c>
      <c r="D36" s="9">
        <f>D33</f>
        <v>831</v>
      </c>
      <c r="E36" s="33"/>
      <c r="F36" s="4"/>
      <c r="G36" s="4"/>
      <c r="H36" s="112"/>
      <c r="I36" s="112"/>
      <c r="J36" s="337"/>
      <c r="K36" s="338"/>
      <c r="L36" s="338"/>
      <c r="M36" s="338"/>
      <c r="N36" s="338"/>
      <c r="O36" s="339"/>
    </row>
    <row r="37" spans="1:57" s="25" customFormat="1" ht="24">
      <c r="A37" s="19" t="s">
        <v>1474</v>
      </c>
      <c r="B37" s="21" t="s">
        <v>1240</v>
      </c>
      <c r="C37" s="116" t="s">
        <v>14</v>
      </c>
      <c r="D37" s="9">
        <f>D36</f>
        <v>831</v>
      </c>
      <c r="E37" s="36"/>
      <c r="F37" s="4"/>
      <c r="G37" s="4"/>
      <c r="H37" s="4"/>
      <c r="I37" s="4"/>
      <c r="J37" s="337"/>
      <c r="K37" s="338"/>
      <c r="L37" s="338"/>
      <c r="M37" s="338"/>
      <c r="N37" s="338"/>
      <c r="O37" s="339"/>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row>
    <row r="38" spans="1:57" s="25" customFormat="1" ht="24.95" customHeight="1">
      <c r="A38" s="19" t="s">
        <v>1475</v>
      </c>
      <c r="B38" s="21" t="s">
        <v>164</v>
      </c>
      <c r="C38" s="13" t="s">
        <v>21</v>
      </c>
      <c r="D38" s="14">
        <v>5</v>
      </c>
      <c r="E38" s="36"/>
      <c r="F38" s="36"/>
      <c r="G38" s="33"/>
      <c r="H38" s="4"/>
      <c r="I38" s="4"/>
      <c r="J38" s="337"/>
      <c r="K38" s="338"/>
      <c r="L38" s="338"/>
      <c r="M38" s="338"/>
      <c r="N38" s="338"/>
      <c r="O38" s="339"/>
    </row>
    <row r="39" spans="1:57" s="25" customFormat="1" ht="14.25">
      <c r="A39" s="106"/>
      <c r="B39" s="180" t="s">
        <v>1238</v>
      </c>
      <c r="C39" s="13"/>
      <c r="D39" s="9"/>
      <c r="E39" s="33"/>
      <c r="F39" s="33"/>
      <c r="G39" s="4"/>
      <c r="H39" s="4"/>
      <c r="I39" s="4"/>
      <c r="J39" s="4"/>
      <c r="K39" s="4"/>
      <c r="L39" s="4"/>
      <c r="M39" s="4"/>
      <c r="N39" s="4"/>
      <c r="O39" s="20"/>
      <c r="P39" s="117"/>
    </row>
    <row r="40" spans="1:57" s="25" customFormat="1" ht="14.25">
      <c r="A40" s="106">
        <v>9</v>
      </c>
      <c r="B40" s="49" t="s">
        <v>187</v>
      </c>
      <c r="C40" s="13" t="s">
        <v>42</v>
      </c>
      <c r="D40" s="14">
        <f>D43+D48</f>
        <v>394.3</v>
      </c>
      <c r="E40" s="11"/>
      <c r="F40" s="4"/>
      <c r="G40" s="4"/>
      <c r="H40" s="4"/>
      <c r="I40" s="4"/>
      <c r="J40" s="337"/>
      <c r="K40" s="338"/>
      <c r="L40" s="338"/>
      <c r="M40" s="338"/>
      <c r="N40" s="338"/>
      <c r="O40" s="339"/>
    </row>
    <row r="41" spans="1:57" s="25" customFormat="1" ht="14.25">
      <c r="A41" s="19" t="s">
        <v>1386</v>
      </c>
      <c r="B41" s="24" t="s">
        <v>188</v>
      </c>
      <c r="C41" s="13" t="s">
        <v>29</v>
      </c>
      <c r="D41" s="10">
        <f>ROUND(D43/0.6+1,0)</f>
        <v>401</v>
      </c>
      <c r="E41" s="11"/>
      <c r="F41" s="4"/>
      <c r="G41" s="33"/>
      <c r="H41" s="11"/>
      <c r="I41" s="11"/>
      <c r="J41" s="337"/>
      <c r="K41" s="338"/>
      <c r="L41" s="338"/>
      <c r="M41" s="338"/>
      <c r="N41" s="338"/>
      <c r="O41" s="339"/>
    </row>
    <row r="42" spans="1:57" s="25" customFormat="1" ht="14.25">
      <c r="A42" s="19" t="s">
        <v>1387</v>
      </c>
      <c r="B42" s="24" t="s">
        <v>189</v>
      </c>
      <c r="C42" s="13" t="s">
        <v>42</v>
      </c>
      <c r="D42" s="14">
        <v>240</v>
      </c>
      <c r="E42" s="11"/>
      <c r="F42" s="4"/>
      <c r="G42" s="33"/>
      <c r="H42" s="11"/>
      <c r="I42" s="11"/>
      <c r="J42" s="337"/>
      <c r="K42" s="338"/>
      <c r="L42" s="338"/>
      <c r="M42" s="338"/>
      <c r="N42" s="338"/>
      <c r="O42" s="339"/>
      <c r="P42" s="133"/>
    </row>
    <row r="43" spans="1:57" s="25" customFormat="1" ht="14.25">
      <c r="A43" s="19" t="s">
        <v>1388</v>
      </c>
      <c r="B43" s="24" t="s">
        <v>190</v>
      </c>
      <c r="C43" s="13" t="s">
        <v>42</v>
      </c>
      <c r="D43" s="14">
        <f>D42</f>
        <v>240</v>
      </c>
      <c r="E43" s="11"/>
      <c r="F43" s="4"/>
      <c r="G43" s="33"/>
      <c r="H43" s="4"/>
      <c r="I43" s="11"/>
      <c r="J43" s="337"/>
      <c r="K43" s="338"/>
      <c r="L43" s="338"/>
      <c r="M43" s="338"/>
      <c r="N43" s="338"/>
      <c r="O43" s="339"/>
      <c r="P43" s="133"/>
    </row>
    <row r="44" spans="1:57" s="25" customFormat="1" ht="14.25">
      <c r="A44" s="19" t="s">
        <v>1389</v>
      </c>
      <c r="B44" s="24" t="s">
        <v>191</v>
      </c>
      <c r="C44" s="13" t="s">
        <v>29</v>
      </c>
      <c r="D44" s="10">
        <v>22</v>
      </c>
      <c r="E44" s="11"/>
      <c r="F44" s="4"/>
      <c r="G44" s="33"/>
      <c r="H44" s="4"/>
      <c r="I44" s="11"/>
      <c r="J44" s="337"/>
      <c r="K44" s="338"/>
      <c r="L44" s="338"/>
      <c r="M44" s="338"/>
      <c r="N44" s="338"/>
      <c r="O44" s="339"/>
      <c r="P44" s="164"/>
    </row>
    <row r="45" spans="1:57" s="25" customFormat="1" ht="14.25">
      <c r="A45" s="19" t="s">
        <v>1478</v>
      </c>
      <c r="B45" s="24" t="s">
        <v>192</v>
      </c>
      <c r="C45" s="13" t="s">
        <v>29</v>
      </c>
      <c r="D45" s="10">
        <f>ROUND(D48*0.76+1,0)</f>
        <v>118</v>
      </c>
      <c r="E45" s="11"/>
      <c r="F45" s="4"/>
      <c r="G45" s="33"/>
      <c r="H45" s="4"/>
      <c r="I45" s="11"/>
      <c r="J45" s="337"/>
      <c r="K45" s="338"/>
      <c r="L45" s="338"/>
      <c r="M45" s="338"/>
      <c r="N45" s="338"/>
      <c r="O45" s="339"/>
      <c r="P45" s="164"/>
    </row>
    <row r="46" spans="1:57" s="25" customFormat="1" ht="14.25">
      <c r="A46" s="19" t="s">
        <v>1479</v>
      </c>
      <c r="B46" s="24" t="s">
        <v>193</v>
      </c>
      <c r="C46" s="13" t="s">
        <v>29</v>
      </c>
      <c r="D46" s="10">
        <v>22</v>
      </c>
      <c r="E46" s="11"/>
      <c r="F46" s="4"/>
      <c r="G46" s="33"/>
      <c r="H46" s="4"/>
      <c r="I46" s="11"/>
      <c r="J46" s="337"/>
      <c r="K46" s="338"/>
      <c r="L46" s="338"/>
      <c r="M46" s="338"/>
      <c r="N46" s="338"/>
      <c r="O46" s="339"/>
      <c r="P46" s="164"/>
    </row>
    <row r="47" spans="1:57" s="25" customFormat="1" ht="14.25">
      <c r="A47" s="19" t="s">
        <v>1480</v>
      </c>
      <c r="B47" s="24" t="s">
        <v>194</v>
      </c>
      <c r="C47" s="13" t="s">
        <v>29</v>
      </c>
      <c r="D47" s="10">
        <v>44</v>
      </c>
      <c r="E47" s="11"/>
      <c r="F47" s="4"/>
      <c r="G47" s="33"/>
      <c r="H47" s="4"/>
      <c r="I47" s="11"/>
      <c r="J47" s="337"/>
      <c r="K47" s="338"/>
      <c r="L47" s="338"/>
      <c r="M47" s="338"/>
      <c r="N47" s="338"/>
      <c r="O47" s="339"/>
      <c r="P47" s="164"/>
    </row>
    <row r="48" spans="1:57" s="25" customFormat="1" ht="14.25">
      <c r="A48" s="19" t="s">
        <v>1481</v>
      </c>
      <c r="B48" s="24" t="s">
        <v>195</v>
      </c>
      <c r="C48" s="13" t="s">
        <v>42</v>
      </c>
      <c r="D48" s="14">
        <v>154.30000000000001</v>
      </c>
      <c r="E48" s="11"/>
      <c r="F48" s="4"/>
      <c r="G48" s="33"/>
      <c r="H48" s="4"/>
      <c r="I48" s="11"/>
      <c r="J48" s="337"/>
      <c r="K48" s="338"/>
      <c r="L48" s="338"/>
      <c r="M48" s="338"/>
      <c r="N48" s="338"/>
      <c r="O48" s="339"/>
      <c r="P48" s="137"/>
    </row>
    <row r="49" spans="1:59" s="133" customFormat="1">
      <c r="A49" s="19" t="s">
        <v>1482</v>
      </c>
      <c r="B49" s="24" t="s">
        <v>196</v>
      </c>
      <c r="C49" s="13" t="s">
        <v>29</v>
      </c>
      <c r="D49" s="10">
        <f>ROUND(D40*6,0)</f>
        <v>2366</v>
      </c>
      <c r="E49" s="171"/>
      <c r="F49" s="4"/>
      <c r="G49" s="33"/>
      <c r="H49" s="11"/>
      <c r="I49" s="4"/>
      <c r="J49" s="337"/>
      <c r="K49" s="338"/>
      <c r="L49" s="338"/>
      <c r="M49" s="338"/>
      <c r="N49" s="338"/>
      <c r="O49" s="339"/>
      <c r="P49" s="164"/>
    </row>
    <row r="50" spans="1:59" s="133" customFormat="1">
      <c r="A50" s="19" t="s">
        <v>1483</v>
      </c>
      <c r="B50" s="24" t="s">
        <v>197</v>
      </c>
      <c r="C50" s="13" t="s">
        <v>41</v>
      </c>
      <c r="D50" s="14">
        <v>30</v>
      </c>
      <c r="E50" s="11"/>
      <c r="F50" s="11"/>
      <c r="G50" s="4"/>
      <c r="H50" s="4"/>
      <c r="I50" s="4"/>
      <c r="J50" s="337"/>
      <c r="K50" s="338"/>
      <c r="L50" s="338"/>
      <c r="M50" s="338"/>
      <c r="N50" s="338"/>
      <c r="O50" s="339"/>
      <c r="P50" s="164"/>
    </row>
    <row r="51" spans="1:59">
      <c r="A51" s="106">
        <v>10</v>
      </c>
      <c r="B51" s="147" t="s">
        <v>1232</v>
      </c>
      <c r="C51" s="13" t="s">
        <v>30</v>
      </c>
      <c r="D51" s="10">
        <v>2</v>
      </c>
      <c r="E51" s="9"/>
      <c r="F51" s="4"/>
      <c r="G51" s="4"/>
      <c r="H51" s="9"/>
      <c r="I51" s="4"/>
      <c r="J51" s="337"/>
      <c r="K51" s="338"/>
      <c r="L51" s="338"/>
      <c r="M51" s="338"/>
      <c r="N51" s="338"/>
      <c r="O51" s="339"/>
      <c r="P51" s="133"/>
      <c r="Q51" s="133"/>
      <c r="R51" s="133"/>
      <c r="S51" s="133"/>
      <c r="T51" s="133"/>
      <c r="U51" s="133"/>
      <c r="V51" s="133"/>
      <c r="W51" s="133"/>
      <c r="X51" s="133"/>
      <c r="Y51" s="133"/>
      <c r="Z51" s="133"/>
    </row>
    <row r="52" spans="1:59" s="94" customFormat="1" ht="12.75" customHeight="1">
      <c r="A52" s="19" t="s">
        <v>1390</v>
      </c>
      <c r="B52" s="221" t="s">
        <v>1139</v>
      </c>
      <c r="C52" s="13" t="s">
        <v>29</v>
      </c>
      <c r="D52" s="155">
        <v>4</v>
      </c>
      <c r="E52" s="107"/>
      <c r="F52" s="107"/>
      <c r="G52" s="108"/>
      <c r="H52" s="108"/>
      <c r="I52" s="4"/>
      <c r="J52" s="337"/>
      <c r="K52" s="338"/>
      <c r="L52" s="338"/>
      <c r="M52" s="338"/>
      <c r="N52" s="338"/>
      <c r="O52" s="339"/>
      <c r="P52" s="156"/>
      <c r="Q52" s="157"/>
      <c r="R52" s="157"/>
      <c r="S52" s="157"/>
    </row>
    <row r="53" spans="1:59" s="94" customFormat="1" ht="12.75" customHeight="1">
      <c r="A53" s="19" t="s">
        <v>1391</v>
      </c>
      <c r="B53" s="221" t="s">
        <v>1233</v>
      </c>
      <c r="C53" s="13" t="s">
        <v>29</v>
      </c>
      <c r="D53" s="155">
        <v>2</v>
      </c>
      <c r="E53" s="107"/>
      <c r="F53" s="107"/>
      <c r="G53" s="108"/>
      <c r="H53" s="108"/>
      <c r="I53" s="4"/>
      <c r="J53" s="337"/>
      <c r="K53" s="338"/>
      <c r="L53" s="338"/>
      <c r="M53" s="338"/>
      <c r="N53" s="338"/>
      <c r="O53" s="339"/>
      <c r="P53" s="156"/>
      <c r="Q53" s="157"/>
      <c r="R53" s="157"/>
      <c r="S53" s="157"/>
    </row>
    <row r="54" spans="1:59" s="94" customFormat="1" ht="12.75" customHeight="1">
      <c r="A54" s="19" t="s">
        <v>1392</v>
      </c>
      <c r="B54" s="221" t="s">
        <v>1140</v>
      </c>
      <c r="C54" s="13" t="s">
        <v>29</v>
      </c>
      <c r="D54" s="10">
        <v>2</v>
      </c>
      <c r="E54" s="107"/>
      <c r="F54" s="107"/>
      <c r="G54" s="108"/>
      <c r="H54" s="108"/>
      <c r="I54" s="4"/>
      <c r="J54" s="337"/>
      <c r="K54" s="338"/>
      <c r="L54" s="338"/>
      <c r="M54" s="338"/>
      <c r="N54" s="338"/>
      <c r="O54" s="339"/>
      <c r="P54" s="156"/>
      <c r="Q54" s="157"/>
      <c r="R54" s="157"/>
      <c r="S54" s="157"/>
    </row>
    <row r="55" spans="1:59" s="94" customFormat="1">
      <c r="A55" s="19" t="s">
        <v>1433</v>
      </c>
      <c r="B55" s="221" t="s">
        <v>166</v>
      </c>
      <c r="C55" s="13" t="s">
        <v>30</v>
      </c>
      <c r="D55" s="155">
        <v>2</v>
      </c>
      <c r="E55" s="107"/>
      <c r="F55" s="107"/>
      <c r="G55" s="108"/>
      <c r="H55" s="108"/>
      <c r="I55" s="4"/>
      <c r="J55" s="337"/>
      <c r="K55" s="338"/>
      <c r="L55" s="338"/>
      <c r="M55" s="338"/>
      <c r="N55" s="338"/>
      <c r="O55" s="339"/>
      <c r="P55" s="156"/>
      <c r="Q55" s="157"/>
    </row>
    <row r="56" spans="1:59" s="25" customFormat="1" ht="12.75" customHeight="1">
      <c r="A56" s="106">
        <v>11</v>
      </c>
      <c r="B56" s="49" t="s">
        <v>1137</v>
      </c>
      <c r="C56" s="13" t="s">
        <v>42</v>
      </c>
      <c r="D56" s="14">
        <v>54</v>
      </c>
      <c r="E56" s="11"/>
      <c r="F56" s="4"/>
      <c r="G56" s="4"/>
      <c r="H56" s="4"/>
      <c r="I56" s="4"/>
      <c r="J56" s="337"/>
      <c r="K56" s="338"/>
      <c r="L56" s="338"/>
      <c r="M56" s="338"/>
      <c r="N56" s="338"/>
      <c r="O56" s="339"/>
    </row>
    <row r="57" spans="1:59" s="25" customFormat="1" ht="24">
      <c r="A57" s="19" t="s">
        <v>1393</v>
      </c>
      <c r="B57" s="21" t="s">
        <v>1141</v>
      </c>
      <c r="C57" s="13" t="s">
        <v>29</v>
      </c>
      <c r="D57" s="155">
        <v>36</v>
      </c>
      <c r="E57" s="153"/>
      <c r="F57" s="33"/>
      <c r="G57" s="4"/>
      <c r="H57" s="4"/>
      <c r="I57" s="4"/>
      <c r="J57" s="337"/>
      <c r="K57" s="338"/>
      <c r="L57" s="338"/>
      <c r="M57" s="338"/>
      <c r="N57" s="338"/>
      <c r="O57" s="339"/>
    </row>
    <row r="58" spans="1:59" s="26" customFormat="1" ht="24">
      <c r="A58" s="19" t="s">
        <v>1394</v>
      </c>
      <c r="B58" s="21" t="s">
        <v>1142</v>
      </c>
      <c r="C58" s="13" t="s">
        <v>29</v>
      </c>
      <c r="D58" s="155">
        <v>36</v>
      </c>
      <c r="E58" s="325"/>
      <c r="F58" s="33"/>
      <c r="G58" s="6"/>
      <c r="H58" s="11"/>
      <c r="I58" s="5"/>
      <c r="J58" s="337"/>
      <c r="K58" s="338"/>
      <c r="L58" s="338"/>
      <c r="M58" s="338"/>
      <c r="N58" s="338"/>
      <c r="O58" s="339"/>
    </row>
    <row r="59" spans="1:59" s="18" customFormat="1" ht="14.25">
      <c r="A59" s="19" t="s">
        <v>1395</v>
      </c>
      <c r="B59" s="24" t="s">
        <v>1138</v>
      </c>
      <c r="C59" s="292" t="s">
        <v>30</v>
      </c>
      <c r="D59" s="326">
        <v>1</v>
      </c>
      <c r="E59" s="36"/>
      <c r="F59" s="36"/>
      <c r="G59" s="33"/>
      <c r="H59" s="11"/>
      <c r="I59" s="4"/>
      <c r="J59" s="337"/>
      <c r="K59" s="338"/>
      <c r="L59" s="338"/>
      <c r="M59" s="338"/>
      <c r="N59" s="338"/>
      <c r="O59" s="339"/>
    </row>
    <row r="60" spans="1:59" ht="36">
      <c r="A60" s="106">
        <v>12</v>
      </c>
      <c r="B60" s="307" t="s">
        <v>385</v>
      </c>
      <c r="C60" s="13" t="s">
        <v>30</v>
      </c>
      <c r="D60" s="155">
        <v>1</v>
      </c>
      <c r="E60" s="9"/>
      <c r="F60" s="4"/>
      <c r="G60" s="4"/>
      <c r="H60" s="9"/>
      <c r="I60" s="4"/>
      <c r="J60" s="337"/>
      <c r="K60" s="338"/>
      <c r="L60" s="338"/>
      <c r="M60" s="338"/>
      <c r="N60" s="338"/>
      <c r="O60" s="339"/>
      <c r="P60" s="133"/>
      <c r="Q60" s="133"/>
      <c r="R60" s="133"/>
      <c r="S60" s="133"/>
      <c r="T60" s="133"/>
      <c r="U60" s="133"/>
      <c r="V60" s="133"/>
      <c r="W60" s="133"/>
      <c r="X60" s="133"/>
      <c r="Y60" s="133"/>
      <c r="Z60" s="133"/>
    </row>
    <row r="61" spans="1:59" s="25" customFormat="1" ht="15" thickBot="1">
      <c r="A61" s="106">
        <f t="shared" si="0"/>
        <v>13</v>
      </c>
      <c r="B61" s="49" t="s">
        <v>33</v>
      </c>
      <c r="C61" s="17" t="s">
        <v>34</v>
      </c>
      <c r="D61" s="14">
        <v>12</v>
      </c>
      <c r="E61" s="40"/>
      <c r="F61" s="40"/>
      <c r="G61" s="16"/>
      <c r="H61" s="16"/>
      <c r="I61" s="16"/>
      <c r="J61" s="337"/>
      <c r="K61" s="338"/>
      <c r="L61" s="338"/>
      <c r="M61" s="338"/>
      <c r="N61" s="338"/>
      <c r="O61" s="339"/>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row>
    <row r="62" spans="1:59" s="102" customFormat="1" ht="15.75" thickTop="1" thickBot="1">
      <c r="A62" s="181"/>
      <c r="B62" s="400" t="s">
        <v>1587</v>
      </c>
      <c r="C62" s="401"/>
      <c r="D62" s="401"/>
      <c r="E62" s="401"/>
      <c r="F62" s="401"/>
      <c r="G62" s="401"/>
      <c r="H62" s="401"/>
      <c r="I62" s="401"/>
      <c r="J62" s="402"/>
      <c r="K62" s="182"/>
      <c r="L62" s="182"/>
      <c r="M62" s="182"/>
      <c r="N62" s="182"/>
      <c r="O62" s="183"/>
      <c r="P62" s="25"/>
      <c r="Q62" s="25"/>
      <c r="R62" s="25"/>
      <c r="S62" s="25"/>
      <c r="T62" s="25"/>
      <c r="U62" s="25"/>
      <c r="V62" s="25"/>
      <c r="W62" s="25"/>
      <c r="X62" s="25"/>
      <c r="Y62" s="25"/>
      <c r="Z62" s="25"/>
      <c r="AA62" s="25"/>
    </row>
    <row r="63" spans="1:59" s="102" customFormat="1" ht="15" thickTop="1">
      <c r="B63" s="200"/>
      <c r="P63" s="25"/>
      <c r="Q63" s="25"/>
      <c r="R63" s="25"/>
      <c r="S63" s="25"/>
      <c r="T63" s="25"/>
      <c r="U63" s="25"/>
      <c r="V63" s="25"/>
      <c r="W63" s="25"/>
      <c r="X63" s="25"/>
      <c r="Y63" s="25"/>
      <c r="Z63" s="25"/>
      <c r="AA63" s="25"/>
    </row>
    <row r="64" spans="1:59" s="102" customFormat="1" ht="14.25">
      <c r="B64" s="184"/>
      <c r="P64" s="25"/>
      <c r="Q64" s="25"/>
      <c r="R64" s="25"/>
      <c r="S64" s="25"/>
      <c r="T64" s="25"/>
      <c r="U64" s="25"/>
      <c r="V64" s="25"/>
      <c r="W64" s="25"/>
      <c r="X64" s="25"/>
      <c r="Y64" s="25"/>
      <c r="Z64" s="25"/>
      <c r="AA64" s="25"/>
    </row>
    <row r="65" spans="1:27" s="102" customFormat="1" ht="14.25">
      <c r="A65" s="117"/>
      <c r="B65" s="172" t="s">
        <v>209</v>
      </c>
      <c r="C65" s="117"/>
      <c r="D65" s="117"/>
      <c r="E65" s="117"/>
      <c r="F65" s="117"/>
      <c r="G65" s="117"/>
      <c r="H65" s="117"/>
      <c r="P65" s="25"/>
      <c r="Q65" s="25"/>
      <c r="R65" s="25"/>
      <c r="S65" s="25"/>
      <c r="T65" s="25"/>
      <c r="U65" s="25"/>
      <c r="V65" s="25"/>
      <c r="W65" s="25"/>
      <c r="X65" s="25"/>
      <c r="Y65" s="25"/>
      <c r="Z65" s="25"/>
      <c r="AA65" s="25"/>
    </row>
    <row r="66" spans="1:27" s="102" customFormat="1" ht="14.25">
      <c r="A66" s="117"/>
      <c r="B66" s="172"/>
      <c r="C66" s="117"/>
      <c r="D66" s="117"/>
      <c r="E66" s="117"/>
      <c r="F66" s="117"/>
      <c r="G66" s="117"/>
      <c r="H66" s="117"/>
      <c r="P66" s="25"/>
      <c r="Q66" s="25"/>
      <c r="R66" s="25"/>
      <c r="S66" s="25"/>
      <c r="T66" s="25"/>
      <c r="U66" s="25"/>
      <c r="V66" s="25"/>
      <c r="W66" s="25"/>
      <c r="X66" s="25"/>
      <c r="Y66" s="25"/>
      <c r="Z66" s="25"/>
      <c r="AA66" s="25"/>
    </row>
    <row r="67" spans="1:27" s="102" customFormat="1" ht="14.25">
      <c r="B67" s="92">
        <f ca="1">TODAY()</f>
        <v>43206</v>
      </c>
      <c r="C67" s="144"/>
      <c r="P67" s="25"/>
      <c r="Q67" s="25"/>
      <c r="R67" s="25"/>
      <c r="S67" s="25"/>
      <c r="T67" s="25"/>
      <c r="U67" s="25"/>
      <c r="V67" s="25"/>
      <c r="W67" s="25"/>
      <c r="X67" s="25"/>
      <c r="Y67" s="25"/>
      <c r="Z67" s="25"/>
      <c r="AA67" s="25"/>
    </row>
    <row r="68" spans="1:27" s="102" customFormat="1" ht="14.25">
      <c r="P68" s="25"/>
      <c r="Q68" s="25"/>
      <c r="R68" s="25"/>
      <c r="S68" s="25"/>
      <c r="T68" s="25"/>
      <c r="U68" s="25"/>
      <c r="V68" s="25"/>
      <c r="W68" s="25"/>
      <c r="X68" s="25"/>
      <c r="Y68" s="25"/>
      <c r="Z68" s="25"/>
      <c r="AA68" s="25"/>
    </row>
    <row r="69" spans="1:27" s="102" customFormat="1" ht="14.25">
      <c r="A69" s="117"/>
      <c r="B69" s="117"/>
      <c r="C69" s="117"/>
      <c r="D69" s="117"/>
      <c r="E69" s="117"/>
      <c r="F69" s="117"/>
      <c r="G69" s="117"/>
      <c r="H69" s="117"/>
      <c r="I69" s="117"/>
      <c r="J69" s="117"/>
      <c r="K69" s="117"/>
      <c r="L69" s="117"/>
      <c r="M69" s="117"/>
      <c r="N69" s="117"/>
      <c r="O69" s="117"/>
      <c r="P69" s="25"/>
      <c r="Q69" s="25"/>
      <c r="R69" s="25"/>
      <c r="S69" s="25"/>
      <c r="T69" s="25"/>
      <c r="U69" s="25"/>
      <c r="V69" s="25"/>
      <c r="W69" s="25"/>
      <c r="X69" s="25"/>
      <c r="Y69" s="25"/>
      <c r="Z69" s="25"/>
      <c r="AA69" s="25"/>
    </row>
    <row r="70" spans="1:27" s="102" customFormat="1" ht="14.25">
      <c r="A70" s="117"/>
      <c r="B70" s="117"/>
      <c r="C70" s="117"/>
      <c r="D70" s="117"/>
      <c r="E70" s="117"/>
      <c r="F70" s="117"/>
      <c r="G70" s="117"/>
      <c r="H70" s="117"/>
      <c r="I70" s="117"/>
      <c r="J70" s="117"/>
      <c r="K70" s="117"/>
      <c r="L70" s="117"/>
      <c r="M70" s="117"/>
      <c r="N70" s="117"/>
      <c r="O70" s="117"/>
      <c r="P70" s="25"/>
      <c r="Q70" s="25"/>
      <c r="R70" s="25"/>
      <c r="S70" s="25"/>
      <c r="T70" s="25"/>
      <c r="U70" s="25"/>
      <c r="V70" s="25"/>
      <c r="W70" s="25"/>
      <c r="X70" s="25"/>
      <c r="Y70" s="25"/>
      <c r="Z70" s="25"/>
      <c r="AA70" s="25"/>
    </row>
    <row r="71" spans="1:27">
      <c r="P71" s="133"/>
      <c r="Q71" s="133"/>
      <c r="R71" s="133"/>
      <c r="S71" s="133"/>
      <c r="T71" s="133"/>
      <c r="U71" s="133"/>
      <c r="V71" s="133"/>
      <c r="W71" s="133"/>
      <c r="X71" s="133"/>
      <c r="Y71" s="133"/>
      <c r="Z71" s="133"/>
      <c r="AA71" s="133"/>
    </row>
    <row r="72" spans="1:27">
      <c r="P72" s="133"/>
      <c r="Q72" s="133"/>
      <c r="R72" s="133"/>
      <c r="S72" s="133"/>
      <c r="T72" s="133"/>
      <c r="U72" s="133"/>
      <c r="V72" s="133"/>
      <c r="W72" s="133"/>
      <c r="X72" s="133"/>
      <c r="Y72" s="133"/>
      <c r="Z72" s="133"/>
      <c r="AA72" s="133"/>
    </row>
    <row r="73" spans="1:27">
      <c r="P73" s="133"/>
      <c r="Q73" s="133"/>
      <c r="R73" s="133"/>
      <c r="S73" s="133"/>
      <c r="T73" s="133"/>
      <c r="U73" s="133"/>
      <c r="V73" s="133"/>
      <c r="W73" s="133"/>
      <c r="X73" s="133"/>
      <c r="Y73" s="133"/>
      <c r="Z73" s="133"/>
      <c r="AA73" s="133"/>
    </row>
    <row r="74" spans="1:27">
      <c r="P74" s="133"/>
      <c r="Q74" s="133"/>
      <c r="R74" s="133"/>
      <c r="S74" s="133"/>
      <c r="T74" s="133"/>
      <c r="U74" s="133"/>
      <c r="V74" s="133"/>
      <c r="W74" s="133"/>
      <c r="X74" s="133"/>
      <c r="Y74" s="133"/>
      <c r="Z74" s="133"/>
      <c r="AA74" s="133"/>
    </row>
    <row r="75" spans="1:27">
      <c r="P75" s="133"/>
      <c r="Q75" s="133"/>
      <c r="R75" s="133"/>
      <c r="S75" s="133"/>
      <c r="T75" s="133"/>
      <c r="U75" s="133"/>
      <c r="V75" s="133"/>
      <c r="W75" s="133"/>
      <c r="X75" s="133"/>
      <c r="Y75" s="133"/>
      <c r="Z75" s="133"/>
      <c r="AA75" s="133"/>
    </row>
    <row r="76" spans="1:27">
      <c r="P76" s="133"/>
      <c r="Q76" s="133"/>
      <c r="R76" s="133"/>
      <c r="S76" s="133"/>
      <c r="T76" s="133"/>
      <c r="U76" s="133"/>
      <c r="V76" s="133"/>
      <c r="W76" s="133"/>
      <c r="X76" s="133"/>
      <c r="Y76" s="133"/>
      <c r="Z76" s="133"/>
      <c r="AA76" s="133"/>
    </row>
    <row r="77" spans="1:27">
      <c r="P77" s="133"/>
      <c r="Q77" s="133"/>
      <c r="R77" s="133"/>
      <c r="S77" s="133"/>
      <c r="T77" s="133"/>
      <c r="U77" s="133"/>
      <c r="V77" s="133"/>
      <c r="W77" s="133"/>
      <c r="X77" s="133"/>
      <c r="Y77" s="133"/>
      <c r="Z77" s="133"/>
      <c r="AA77" s="133"/>
    </row>
    <row r="78" spans="1:27">
      <c r="P78" s="133"/>
      <c r="Q78" s="133"/>
      <c r="R78" s="133"/>
      <c r="S78" s="133"/>
      <c r="T78" s="133"/>
      <c r="U78" s="133"/>
      <c r="V78" s="133"/>
      <c r="W78" s="133"/>
      <c r="X78" s="133"/>
      <c r="Y78" s="133"/>
      <c r="Z78" s="133"/>
      <c r="AA78" s="133"/>
    </row>
    <row r="79" spans="1:27">
      <c r="P79" s="133"/>
      <c r="Q79" s="133"/>
      <c r="R79" s="133"/>
      <c r="S79" s="133"/>
      <c r="T79" s="133"/>
      <c r="U79" s="133"/>
      <c r="V79" s="133"/>
      <c r="W79" s="133"/>
      <c r="X79" s="133"/>
      <c r="Y79" s="133"/>
      <c r="Z79" s="133"/>
      <c r="AA79" s="133"/>
    </row>
    <row r="80" spans="1:27">
      <c r="P80" s="133"/>
      <c r="Q80" s="133"/>
      <c r="R80" s="133"/>
      <c r="S80" s="133"/>
      <c r="T80" s="133"/>
      <c r="U80" s="133"/>
      <c r="V80" s="133"/>
      <c r="W80" s="133"/>
      <c r="X80" s="133"/>
      <c r="Y80" s="133"/>
      <c r="Z80" s="133"/>
      <c r="AA80" s="133"/>
    </row>
    <row r="81" spans="16:27">
      <c r="P81" s="133"/>
      <c r="Q81" s="133"/>
      <c r="R81" s="133"/>
      <c r="S81" s="133"/>
      <c r="T81" s="133"/>
      <c r="U81" s="133"/>
      <c r="V81" s="133"/>
      <c r="W81" s="133"/>
      <c r="X81" s="133"/>
      <c r="Y81" s="133"/>
      <c r="Z81" s="133"/>
      <c r="AA81" s="133"/>
    </row>
    <row r="82" spans="16:27">
      <c r="P82" s="133"/>
      <c r="Q82" s="133"/>
      <c r="R82" s="133"/>
      <c r="S82" s="133"/>
      <c r="T82" s="133"/>
      <c r="U82" s="133"/>
      <c r="V82" s="133"/>
      <c r="W82" s="133"/>
      <c r="X82" s="133"/>
      <c r="Y82" s="133"/>
      <c r="Z82" s="133"/>
      <c r="AA82" s="133"/>
    </row>
    <row r="83" spans="16:27">
      <c r="P83" s="133"/>
      <c r="Q83" s="133"/>
      <c r="R83" s="133"/>
      <c r="S83" s="133"/>
      <c r="T83" s="133"/>
      <c r="U83" s="133"/>
      <c r="V83" s="133"/>
      <c r="W83" s="133"/>
      <c r="X83" s="133"/>
      <c r="Y83" s="133"/>
      <c r="Z83" s="133"/>
      <c r="AA83" s="133"/>
    </row>
    <row r="84" spans="16:27">
      <c r="P84" s="133"/>
      <c r="Q84" s="133"/>
      <c r="R84" s="133"/>
      <c r="S84" s="133"/>
      <c r="T84" s="133"/>
      <c r="U84" s="133"/>
      <c r="V84" s="133"/>
      <c r="W84" s="133"/>
      <c r="X84" s="133"/>
      <c r="Y84" s="133"/>
      <c r="Z84" s="133"/>
      <c r="AA84" s="133"/>
    </row>
    <row r="85" spans="16:27">
      <c r="P85" s="133"/>
      <c r="Q85" s="133"/>
      <c r="R85" s="133"/>
      <c r="S85" s="133"/>
      <c r="T85" s="133"/>
      <c r="U85" s="133"/>
      <c r="V85" s="133"/>
      <c r="W85" s="133"/>
      <c r="X85" s="133"/>
      <c r="Y85" s="133"/>
      <c r="Z85" s="133"/>
      <c r="AA85" s="133"/>
    </row>
    <row r="86" spans="16:27">
      <c r="P86" s="133"/>
      <c r="Q86" s="133"/>
      <c r="R86" s="133"/>
      <c r="S86" s="133"/>
      <c r="T86" s="133"/>
      <c r="U86" s="133"/>
      <c r="V86" s="133"/>
      <c r="W86" s="133"/>
      <c r="X86" s="133"/>
      <c r="Y86" s="133"/>
      <c r="Z86" s="133"/>
      <c r="AA86" s="133"/>
    </row>
    <row r="87" spans="16:27">
      <c r="P87" s="133"/>
      <c r="Q87" s="133"/>
      <c r="R87" s="133"/>
      <c r="S87" s="133"/>
      <c r="T87" s="133"/>
      <c r="U87" s="133"/>
      <c r="V87" s="133"/>
      <c r="W87" s="133"/>
      <c r="X87" s="133"/>
      <c r="Y87" s="133"/>
      <c r="Z87" s="133"/>
      <c r="AA87" s="133"/>
    </row>
    <row r="88" spans="16:27">
      <c r="P88" s="133"/>
      <c r="Q88" s="133"/>
      <c r="R88" s="133"/>
      <c r="S88" s="133"/>
      <c r="T88" s="133"/>
      <c r="U88" s="133"/>
      <c r="V88" s="133"/>
      <c r="W88" s="133"/>
      <c r="X88" s="133"/>
      <c r="Y88" s="133"/>
      <c r="Z88" s="133"/>
      <c r="AA88" s="133"/>
    </row>
    <row r="89" spans="16:27">
      <c r="P89" s="133"/>
      <c r="Q89" s="133"/>
      <c r="R89" s="133"/>
      <c r="S89" s="133"/>
      <c r="T89" s="133"/>
      <c r="U89" s="133"/>
      <c r="V89" s="133"/>
      <c r="W89" s="133"/>
      <c r="X89" s="133"/>
      <c r="Y89" s="133"/>
      <c r="Z89" s="133"/>
      <c r="AA89" s="133"/>
    </row>
    <row r="90" spans="16:27">
      <c r="P90" s="133"/>
      <c r="Q90" s="133"/>
      <c r="R90" s="133"/>
      <c r="S90" s="133"/>
      <c r="T90" s="133"/>
      <c r="U90" s="133"/>
      <c r="V90" s="133"/>
      <c r="W90" s="133"/>
      <c r="X90" s="133"/>
      <c r="Y90" s="133"/>
      <c r="Z90" s="133"/>
      <c r="AA90" s="133"/>
    </row>
    <row r="91" spans="16:27">
      <c r="P91" s="133"/>
      <c r="Q91" s="133"/>
      <c r="R91" s="133"/>
      <c r="S91" s="133"/>
      <c r="T91" s="133"/>
      <c r="U91" s="133"/>
      <c r="V91" s="133"/>
      <c r="W91" s="133"/>
      <c r="X91" s="133"/>
      <c r="Y91" s="133"/>
      <c r="Z91" s="133"/>
      <c r="AA91" s="133"/>
    </row>
    <row r="92" spans="16:27">
      <c r="P92" s="133"/>
      <c r="Q92" s="133"/>
      <c r="R92" s="133"/>
      <c r="S92" s="133"/>
      <c r="T92" s="133"/>
      <c r="U92" s="133"/>
      <c r="V92" s="133"/>
      <c r="W92" s="133"/>
      <c r="X92" s="133"/>
      <c r="Y92" s="133"/>
      <c r="Z92" s="133"/>
      <c r="AA92" s="133"/>
    </row>
    <row r="93" spans="16:27">
      <c r="P93" s="133"/>
      <c r="Q93" s="133"/>
      <c r="R93" s="133"/>
      <c r="S93" s="133"/>
      <c r="T93" s="133"/>
      <c r="U93" s="133"/>
      <c r="V93" s="133"/>
      <c r="W93" s="133"/>
      <c r="X93" s="133"/>
      <c r="Y93" s="133"/>
      <c r="Z93" s="133"/>
      <c r="AA93" s="133"/>
    </row>
    <row r="94" spans="16:27">
      <c r="P94" s="133"/>
      <c r="Q94" s="133"/>
      <c r="R94" s="133"/>
      <c r="S94" s="133"/>
      <c r="T94" s="133"/>
      <c r="U94" s="133"/>
      <c r="V94" s="133"/>
      <c r="W94" s="133"/>
      <c r="X94" s="133"/>
      <c r="Y94" s="133"/>
      <c r="Z94" s="133"/>
      <c r="AA94" s="133"/>
    </row>
    <row r="95" spans="16:27">
      <c r="P95" s="133"/>
      <c r="Q95" s="133"/>
      <c r="R95" s="133"/>
      <c r="S95" s="133"/>
      <c r="T95" s="133"/>
      <c r="U95" s="133"/>
      <c r="V95" s="133"/>
      <c r="W95" s="133"/>
      <c r="X95" s="133"/>
      <c r="Y95" s="133"/>
      <c r="Z95" s="133"/>
      <c r="AA95" s="133"/>
    </row>
    <row r="96" spans="16:27">
      <c r="P96" s="133"/>
      <c r="Q96" s="133"/>
      <c r="R96" s="133"/>
      <c r="S96" s="133"/>
      <c r="T96" s="133"/>
      <c r="U96" s="133"/>
      <c r="V96" s="133"/>
      <c r="W96" s="133"/>
      <c r="X96" s="133"/>
      <c r="Y96" s="133"/>
      <c r="Z96" s="133"/>
      <c r="AA96" s="133"/>
    </row>
    <row r="97" spans="16:27">
      <c r="P97" s="133"/>
      <c r="Q97" s="133"/>
      <c r="R97" s="133"/>
      <c r="S97" s="133"/>
      <c r="T97" s="133"/>
      <c r="U97" s="133"/>
      <c r="V97" s="133"/>
      <c r="W97" s="133"/>
      <c r="X97" s="133"/>
      <c r="Y97" s="133"/>
      <c r="Z97" s="133"/>
      <c r="AA97" s="133"/>
    </row>
    <row r="98" spans="16:27">
      <c r="P98" s="133"/>
      <c r="Q98" s="133"/>
      <c r="R98" s="133"/>
      <c r="S98" s="133"/>
      <c r="T98" s="133"/>
      <c r="U98" s="133"/>
      <c r="V98" s="133"/>
      <c r="W98" s="133"/>
      <c r="X98" s="133"/>
      <c r="Y98" s="133"/>
      <c r="Z98" s="133"/>
      <c r="AA98" s="133"/>
    </row>
    <row r="99" spans="16:27">
      <c r="P99" s="133"/>
      <c r="Q99" s="133"/>
      <c r="R99" s="133"/>
      <c r="S99" s="133"/>
      <c r="T99" s="133"/>
      <c r="U99" s="133"/>
      <c r="V99" s="133"/>
      <c r="W99" s="133"/>
      <c r="X99" s="133"/>
      <c r="Y99" s="133"/>
      <c r="Z99" s="133"/>
      <c r="AA99" s="133"/>
    </row>
    <row r="100" spans="16:27">
      <c r="P100" s="133"/>
      <c r="Q100" s="133"/>
      <c r="R100" s="133"/>
      <c r="S100" s="133"/>
      <c r="T100" s="133"/>
      <c r="U100" s="133"/>
      <c r="V100" s="133"/>
      <c r="W100" s="133"/>
      <c r="X100" s="133"/>
      <c r="Y100" s="133"/>
      <c r="Z100" s="133"/>
      <c r="AA100" s="133"/>
    </row>
    <row r="101" spans="16:27">
      <c r="P101" s="133"/>
      <c r="Q101" s="133"/>
      <c r="R101" s="133"/>
      <c r="S101" s="133"/>
      <c r="T101" s="133"/>
      <c r="U101" s="133"/>
      <c r="V101" s="133"/>
      <c r="W101" s="133"/>
      <c r="X101" s="133"/>
      <c r="Y101" s="133"/>
      <c r="Z101" s="133"/>
      <c r="AA101" s="133"/>
    </row>
    <row r="102" spans="16:27">
      <c r="P102" s="133"/>
      <c r="Q102" s="133"/>
      <c r="R102" s="133"/>
      <c r="S102" s="133"/>
      <c r="T102" s="133"/>
      <c r="U102" s="133"/>
      <c r="V102" s="133"/>
      <c r="W102" s="133"/>
      <c r="X102" s="133"/>
      <c r="Y102" s="133"/>
      <c r="Z102" s="133"/>
      <c r="AA102" s="133"/>
    </row>
    <row r="103" spans="16:27">
      <c r="P103" s="133"/>
      <c r="Q103" s="133"/>
      <c r="R103" s="133"/>
      <c r="S103" s="133"/>
      <c r="T103" s="133"/>
      <c r="U103" s="133"/>
      <c r="V103" s="133"/>
      <c r="W103" s="133"/>
      <c r="X103" s="133"/>
      <c r="Y103" s="133"/>
      <c r="Z103" s="133"/>
      <c r="AA103" s="133"/>
    </row>
    <row r="104" spans="16:27">
      <c r="P104" s="133"/>
      <c r="Q104" s="133"/>
      <c r="R104" s="133"/>
      <c r="S104" s="133"/>
      <c r="T104" s="133"/>
      <c r="U104" s="133"/>
      <c r="V104" s="133"/>
      <c r="W104" s="133"/>
      <c r="X104" s="133"/>
      <c r="Y104" s="133"/>
      <c r="Z104" s="133"/>
      <c r="AA104" s="133"/>
    </row>
    <row r="105" spans="16:27">
      <c r="P105" s="133"/>
      <c r="Q105" s="133"/>
      <c r="R105" s="133"/>
      <c r="S105" s="133"/>
      <c r="T105" s="133"/>
      <c r="U105" s="133"/>
      <c r="V105" s="133"/>
      <c r="W105" s="133"/>
      <c r="X105" s="133"/>
      <c r="Y105" s="133"/>
      <c r="Z105" s="133"/>
      <c r="AA105" s="133"/>
    </row>
    <row r="106" spans="16:27">
      <c r="P106" s="133"/>
      <c r="Q106" s="133"/>
      <c r="R106" s="133"/>
      <c r="S106" s="133"/>
      <c r="T106" s="133"/>
      <c r="U106" s="133"/>
      <c r="V106" s="133"/>
      <c r="W106" s="133"/>
      <c r="X106" s="133"/>
      <c r="Y106" s="133"/>
      <c r="Z106" s="133"/>
      <c r="AA106" s="133"/>
    </row>
    <row r="107" spans="16:27">
      <c r="P107" s="133"/>
      <c r="Q107" s="133"/>
      <c r="R107" s="133"/>
      <c r="S107" s="133"/>
      <c r="T107" s="133"/>
      <c r="U107" s="133"/>
      <c r="V107" s="133"/>
      <c r="W107" s="133"/>
      <c r="X107" s="133"/>
      <c r="Y107" s="133"/>
      <c r="Z107" s="133"/>
      <c r="AA107" s="133"/>
    </row>
    <row r="108" spans="16:27">
      <c r="P108" s="133"/>
      <c r="Q108" s="133"/>
      <c r="R108" s="133"/>
      <c r="S108" s="133"/>
      <c r="T108" s="133"/>
      <c r="U108" s="133"/>
      <c r="V108" s="133"/>
      <c r="W108" s="133"/>
      <c r="X108" s="133"/>
      <c r="Y108" s="133"/>
      <c r="Z108" s="133"/>
      <c r="AA108" s="133"/>
    </row>
    <row r="109" spans="16:27">
      <c r="P109" s="133"/>
      <c r="Q109" s="133"/>
      <c r="R109" s="133"/>
      <c r="S109" s="133"/>
      <c r="T109" s="133"/>
      <c r="U109" s="133"/>
      <c r="V109" s="133"/>
      <c r="W109" s="133"/>
      <c r="X109" s="133"/>
      <c r="Y109" s="133"/>
      <c r="Z109" s="133"/>
      <c r="AA109" s="133"/>
    </row>
    <row r="110" spans="16:27">
      <c r="P110" s="133"/>
      <c r="Q110" s="133"/>
      <c r="R110" s="133"/>
      <c r="S110" s="133"/>
      <c r="T110" s="133"/>
      <c r="U110" s="133"/>
      <c r="V110" s="133"/>
      <c r="W110" s="133"/>
      <c r="X110" s="133"/>
      <c r="Y110" s="133"/>
      <c r="Z110" s="133"/>
      <c r="AA110" s="133"/>
    </row>
    <row r="111" spans="16:27">
      <c r="P111" s="133"/>
      <c r="Q111" s="133"/>
      <c r="R111" s="133"/>
      <c r="S111" s="133"/>
      <c r="T111" s="133"/>
      <c r="U111" s="133"/>
      <c r="V111" s="133"/>
      <c r="W111" s="133"/>
      <c r="X111" s="133"/>
      <c r="Y111" s="133"/>
      <c r="Z111" s="133"/>
      <c r="AA111" s="133"/>
    </row>
    <row r="112" spans="16:27">
      <c r="P112" s="133"/>
      <c r="Q112" s="133"/>
      <c r="R112" s="133"/>
      <c r="S112" s="133"/>
      <c r="T112" s="133"/>
      <c r="U112" s="133"/>
      <c r="V112" s="133"/>
      <c r="W112" s="133"/>
      <c r="X112" s="133"/>
      <c r="Y112" s="133"/>
      <c r="Z112" s="133"/>
      <c r="AA112" s="133"/>
    </row>
    <row r="113" spans="16:27">
      <c r="P113" s="133"/>
      <c r="Q113" s="133"/>
      <c r="R113" s="133"/>
      <c r="S113" s="133"/>
      <c r="T113" s="133"/>
      <c r="U113" s="133"/>
      <c r="V113" s="133"/>
      <c r="W113" s="133"/>
      <c r="X113" s="133"/>
      <c r="Y113" s="133"/>
      <c r="Z113" s="133"/>
      <c r="AA113" s="133"/>
    </row>
    <row r="114" spans="16:27">
      <c r="P114" s="133"/>
      <c r="Q114" s="133"/>
      <c r="R114" s="133"/>
      <c r="S114" s="133"/>
      <c r="T114" s="133"/>
      <c r="U114" s="133"/>
      <c r="V114" s="133"/>
      <c r="W114" s="133"/>
      <c r="X114" s="133"/>
      <c r="Y114" s="133"/>
      <c r="Z114" s="133"/>
      <c r="AA114" s="133"/>
    </row>
    <row r="115" spans="16:27">
      <c r="P115" s="133"/>
      <c r="Q115" s="133"/>
      <c r="R115" s="133"/>
      <c r="S115" s="133"/>
      <c r="T115" s="133"/>
      <c r="U115" s="133"/>
      <c r="V115" s="133"/>
      <c r="W115" s="133"/>
      <c r="X115" s="133"/>
      <c r="Y115" s="133"/>
      <c r="Z115" s="133"/>
      <c r="AA115" s="133"/>
    </row>
    <row r="116" spans="16:27">
      <c r="P116" s="133"/>
      <c r="Q116" s="133"/>
      <c r="R116" s="133"/>
      <c r="S116" s="133"/>
      <c r="T116" s="133"/>
      <c r="U116" s="133"/>
      <c r="V116" s="133"/>
      <c r="W116" s="133"/>
      <c r="X116" s="133"/>
      <c r="Y116" s="133"/>
      <c r="Z116" s="133"/>
      <c r="AA116" s="133"/>
    </row>
    <row r="117" spans="16:27">
      <c r="P117" s="133"/>
      <c r="Q117" s="133"/>
      <c r="R117" s="133"/>
      <c r="S117" s="133"/>
      <c r="T117" s="133"/>
      <c r="U117" s="133"/>
      <c r="V117" s="133"/>
      <c r="W117" s="133"/>
      <c r="X117" s="133"/>
      <c r="Y117" s="133"/>
      <c r="Z117" s="133"/>
      <c r="AA117" s="133"/>
    </row>
    <row r="118" spans="16:27">
      <c r="P118" s="133"/>
      <c r="Q118" s="133"/>
      <c r="R118" s="133"/>
      <c r="S118" s="133"/>
      <c r="T118" s="133"/>
      <c r="U118" s="133"/>
      <c r="V118" s="133"/>
      <c r="W118" s="133"/>
      <c r="X118" s="133"/>
      <c r="Y118" s="133"/>
      <c r="Z118" s="133"/>
      <c r="AA118" s="133"/>
    </row>
    <row r="119" spans="16:27">
      <c r="P119" s="133"/>
      <c r="Q119" s="133"/>
      <c r="R119" s="133"/>
      <c r="S119" s="133"/>
      <c r="T119" s="133"/>
      <c r="U119" s="133"/>
      <c r="V119" s="133"/>
      <c r="W119" s="133"/>
      <c r="X119" s="133"/>
      <c r="Y119" s="133"/>
      <c r="Z119" s="133"/>
      <c r="AA119" s="133"/>
    </row>
    <row r="120" spans="16:27">
      <c r="P120" s="133"/>
      <c r="Q120" s="133"/>
      <c r="R120" s="133"/>
      <c r="S120" s="133"/>
      <c r="T120" s="133"/>
      <c r="U120" s="133"/>
      <c r="V120" s="133"/>
      <c r="W120" s="133"/>
      <c r="X120" s="133"/>
      <c r="Y120" s="133"/>
      <c r="Z120" s="133"/>
      <c r="AA120" s="133"/>
    </row>
    <row r="121" spans="16:27">
      <c r="P121" s="133"/>
      <c r="Q121" s="133"/>
      <c r="R121" s="133"/>
      <c r="S121" s="133"/>
      <c r="T121" s="133"/>
      <c r="U121" s="133"/>
      <c r="V121" s="133"/>
      <c r="W121" s="133"/>
      <c r="X121" s="133"/>
      <c r="Y121" s="133"/>
      <c r="Z121" s="133"/>
      <c r="AA121" s="133"/>
    </row>
    <row r="122" spans="16:27">
      <c r="P122" s="133"/>
      <c r="Q122" s="133"/>
      <c r="R122" s="133"/>
      <c r="S122" s="133"/>
      <c r="T122" s="133"/>
      <c r="U122" s="133"/>
      <c r="V122" s="133"/>
      <c r="W122" s="133"/>
      <c r="X122" s="133"/>
      <c r="Y122" s="133"/>
      <c r="Z122" s="133"/>
      <c r="AA122" s="133"/>
    </row>
    <row r="123" spans="16:27">
      <c r="P123" s="133"/>
      <c r="Q123" s="133"/>
      <c r="R123" s="133"/>
      <c r="S123" s="133"/>
      <c r="T123" s="133"/>
      <c r="U123" s="133"/>
      <c r="V123" s="133"/>
      <c r="W123" s="133"/>
      <c r="X123" s="133"/>
      <c r="Y123" s="133"/>
      <c r="Z123" s="133"/>
      <c r="AA123" s="133"/>
    </row>
    <row r="124" spans="16:27">
      <c r="P124" s="133"/>
      <c r="Q124" s="133"/>
      <c r="R124" s="133"/>
      <c r="S124" s="133"/>
      <c r="T124" s="133"/>
      <c r="U124" s="133"/>
      <c r="V124" s="133"/>
      <c r="W124" s="133"/>
      <c r="X124" s="133"/>
      <c r="Y124" s="133"/>
      <c r="Z124" s="133"/>
      <c r="AA124" s="133"/>
    </row>
    <row r="125" spans="16:27">
      <c r="P125" s="133"/>
      <c r="Q125" s="133"/>
      <c r="R125" s="133"/>
      <c r="S125" s="133"/>
      <c r="T125" s="133"/>
      <c r="U125" s="133"/>
      <c r="V125" s="133"/>
      <c r="W125" s="133"/>
      <c r="X125" s="133"/>
      <c r="Y125" s="133"/>
      <c r="Z125" s="133"/>
      <c r="AA125" s="133"/>
    </row>
    <row r="126" spans="16:27">
      <c r="P126" s="133"/>
      <c r="Q126" s="133"/>
      <c r="R126" s="133"/>
      <c r="S126" s="133"/>
      <c r="T126" s="133"/>
      <c r="U126" s="133"/>
      <c r="V126" s="133"/>
      <c r="W126" s="133"/>
      <c r="X126" s="133"/>
      <c r="Y126" s="133"/>
      <c r="Z126" s="133"/>
      <c r="AA126" s="133"/>
    </row>
    <row r="127" spans="16:27">
      <c r="P127" s="133"/>
      <c r="Q127" s="133"/>
      <c r="R127" s="133"/>
      <c r="S127" s="133"/>
      <c r="T127" s="133"/>
      <c r="U127" s="133"/>
      <c r="V127" s="133"/>
      <c r="W127" s="133"/>
      <c r="X127" s="133"/>
      <c r="Y127" s="133"/>
      <c r="Z127" s="133"/>
      <c r="AA127" s="133"/>
    </row>
    <row r="128" spans="16:27">
      <c r="P128" s="133"/>
      <c r="Q128" s="133"/>
      <c r="R128" s="133"/>
      <c r="S128" s="133"/>
      <c r="T128" s="133"/>
      <c r="U128" s="133"/>
      <c r="V128" s="133"/>
      <c r="W128" s="133"/>
      <c r="X128" s="133"/>
      <c r="Y128" s="133"/>
      <c r="Z128" s="133"/>
      <c r="AA128" s="133"/>
    </row>
    <row r="129" spans="16:27">
      <c r="P129" s="133"/>
      <c r="Q129" s="133"/>
      <c r="R129" s="133"/>
      <c r="S129" s="133"/>
      <c r="T129" s="133"/>
      <c r="U129" s="133"/>
      <c r="V129" s="133"/>
      <c r="W129" s="133"/>
      <c r="X129" s="133"/>
      <c r="Y129" s="133"/>
      <c r="Z129" s="133"/>
      <c r="AA129" s="133"/>
    </row>
    <row r="130" spans="16:27">
      <c r="P130" s="133"/>
      <c r="Q130" s="133"/>
      <c r="R130" s="133"/>
      <c r="S130" s="133"/>
      <c r="T130" s="133"/>
      <c r="U130" s="133"/>
      <c r="V130" s="133"/>
      <c r="W130" s="133"/>
      <c r="X130" s="133"/>
      <c r="Y130" s="133"/>
      <c r="Z130" s="133"/>
      <c r="AA130" s="133"/>
    </row>
    <row r="131" spans="16:27">
      <c r="P131" s="133"/>
      <c r="Q131" s="133"/>
      <c r="R131" s="133"/>
      <c r="S131" s="133"/>
      <c r="T131" s="133"/>
      <c r="U131" s="133"/>
      <c r="V131" s="133"/>
      <c r="W131" s="133"/>
      <c r="X131" s="133"/>
      <c r="Y131" s="133"/>
      <c r="Z131" s="133"/>
      <c r="AA131" s="133"/>
    </row>
    <row r="132" spans="16:27">
      <c r="P132" s="133"/>
      <c r="Q132" s="133"/>
      <c r="R132" s="133"/>
      <c r="S132" s="133"/>
      <c r="T132" s="133"/>
      <c r="U132" s="133"/>
      <c r="V132" s="133"/>
      <c r="W132" s="133"/>
      <c r="X132" s="133"/>
      <c r="Y132" s="133"/>
      <c r="Z132" s="133"/>
      <c r="AA132" s="133"/>
    </row>
    <row r="133" spans="16:27">
      <c r="P133" s="133"/>
      <c r="Q133" s="133"/>
      <c r="R133" s="133"/>
      <c r="S133" s="133"/>
      <c r="T133" s="133"/>
      <c r="U133" s="133"/>
      <c r="V133" s="133"/>
      <c r="W133" s="133"/>
      <c r="X133" s="133"/>
      <c r="Y133" s="133"/>
      <c r="Z133" s="133"/>
      <c r="AA133" s="133"/>
    </row>
    <row r="134" spans="16:27">
      <c r="P134" s="133"/>
      <c r="Q134" s="133"/>
      <c r="R134" s="133"/>
      <c r="S134" s="133"/>
      <c r="T134" s="133"/>
      <c r="U134" s="133"/>
      <c r="V134" s="133"/>
      <c r="W134" s="133"/>
      <c r="X134" s="133"/>
      <c r="Y134" s="133"/>
      <c r="Z134" s="133"/>
      <c r="AA134" s="133"/>
    </row>
    <row r="135" spans="16:27">
      <c r="P135" s="133"/>
      <c r="Q135" s="133"/>
      <c r="R135" s="133"/>
      <c r="S135" s="133"/>
      <c r="T135" s="133"/>
      <c r="U135" s="133"/>
      <c r="V135" s="133"/>
      <c r="W135" s="133"/>
      <c r="X135" s="133"/>
      <c r="Y135" s="133"/>
      <c r="Z135" s="133"/>
      <c r="AA135" s="133"/>
    </row>
    <row r="136" spans="16:27">
      <c r="P136" s="133"/>
      <c r="Q136" s="133"/>
      <c r="R136" s="133"/>
      <c r="S136" s="133"/>
      <c r="T136" s="133"/>
      <c r="U136" s="133"/>
      <c r="V136" s="133"/>
      <c r="W136" s="133"/>
      <c r="X136" s="133"/>
      <c r="Y136" s="133"/>
      <c r="Z136" s="133"/>
      <c r="AA136" s="133"/>
    </row>
    <row r="137" spans="16:27">
      <c r="P137" s="133"/>
      <c r="Q137" s="133"/>
      <c r="R137" s="133"/>
      <c r="S137" s="133"/>
      <c r="T137" s="133"/>
      <c r="U137" s="133"/>
      <c r="V137" s="133"/>
      <c r="W137" s="133"/>
      <c r="X137" s="133"/>
      <c r="Y137" s="133"/>
      <c r="Z137" s="133"/>
      <c r="AA137" s="133"/>
    </row>
    <row r="138" spans="16:27">
      <c r="P138" s="133"/>
      <c r="Q138" s="133"/>
      <c r="R138" s="133"/>
      <c r="S138" s="133"/>
      <c r="T138" s="133"/>
      <c r="U138" s="133"/>
      <c r="V138" s="133"/>
      <c r="W138" s="133"/>
      <c r="X138" s="133"/>
      <c r="Y138" s="133"/>
      <c r="Z138" s="133"/>
      <c r="AA138" s="133"/>
    </row>
    <row r="139" spans="16:27">
      <c r="P139" s="133"/>
      <c r="Q139" s="133"/>
      <c r="R139" s="133"/>
      <c r="S139" s="133"/>
      <c r="T139" s="133"/>
      <c r="U139" s="133"/>
      <c r="V139" s="133"/>
      <c r="W139" s="133"/>
      <c r="X139" s="133"/>
      <c r="Y139" s="133"/>
      <c r="Z139" s="133"/>
      <c r="AA139" s="133"/>
    </row>
    <row r="140" spans="16:27">
      <c r="P140" s="133"/>
      <c r="Q140" s="133"/>
      <c r="R140" s="133"/>
      <c r="S140" s="133"/>
      <c r="T140" s="133"/>
      <c r="U140" s="133"/>
      <c r="V140" s="133"/>
      <c r="W140" s="133"/>
      <c r="X140" s="133"/>
      <c r="Y140" s="133"/>
      <c r="Z140" s="133"/>
      <c r="AA140" s="133"/>
    </row>
    <row r="141" spans="16:27">
      <c r="P141" s="133"/>
      <c r="Q141" s="133"/>
      <c r="R141" s="133"/>
      <c r="S141" s="133"/>
      <c r="T141" s="133"/>
      <c r="U141" s="133"/>
      <c r="V141" s="133"/>
      <c r="W141" s="133"/>
      <c r="X141" s="133"/>
      <c r="Y141" s="133"/>
      <c r="Z141" s="133"/>
      <c r="AA141" s="133"/>
    </row>
    <row r="142" spans="16:27">
      <c r="P142" s="133"/>
      <c r="Q142" s="133"/>
      <c r="R142" s="133"/>
      <c r="S142" s="133"/>
      <c r="T142" s="133"/>
      <c r="U142" s="133"/>
      <c r="V142" s="133"/>
      <c r="W142" s="133"/>
      <c r="X142" s="133"/>
      <c r="Y142" s="133"/>
      <c r="Z142" s="133"/>
      <c r="AA142" s="133"/>
    </row>
    <row r="143" spans="16:27">
      <c r="P143" s="133"/>
      <c r="Q143" s="133"/>
      <c r="R143" s="133"/>
      <c r="S143" s="133"/>
      <c r="T143" s="133"/>
      <c r="U143" s="133"/>
      <c r="V143" s="133"/>
      <c r="W143" s="133"/>
      <c r="X143" s="133"/>
      <c r="Y143" s="133"/>
      <c r="Z143" s="133"/>
      <c r="AA143" s="133"/>
    </row>
    <row r="144" spans="16:27">
      <c r="P144" s="133"/>
      <c r="Q144" s="133"/>
      <c r="R144" s="133"/>
      <c r="S144" s="133"/>
      <c r="T144" s="133"/>
      <c r="U144" s="133"/>
      <c r="V144" s="133"/>
      <c r="W144" s="133"/>
      <c r="X144" s="133"/>
      <c r="Y144" s="133"/>
      <c r="Z144" s="133"/>
      <c r="AA144" s="133"/>
    </row>
    <row r="145" spans="16:27">
      <c r="P145" s="133"/>
      <c r="Q145" s="133"/>
      <c r="R145" s="133"/>
      <c r="S145" s="133"/>
      <c r="T145" s="133"/>
      <c r="U145" s="133"/>
      <c r="V145" s="133"/>
      <c r="W145" s="133"/>
      <c r="X145" s="133"/>
      <c r="Y145" s="133"/>
      <c r="Z145" s="133"/>
      <c r="AA145" s="133"/>
    </row>
    <row r="146" spans="16:27">
      <c r="P146" s="133"/>
      <c r="Q146" s="133"/>
      <c r="R146" s="133"/>
      <c r="S146" s="133"/>
      <c r="T146" s="133"/>
      <c r="U146" s="133"/>
      <c r="V146" s="133"/>
      <c r="W146" s="133"/>
      <c r="X146" s="133"/>
      <c r="Y146" s="133"/>
      <c r="Z146" s="133"/>
      <c r="AA146" s="133"/>
    </row>
    <row r="147" spans="16:27">
      <c r="P147" s="133"/>
      <c r="Q147" s="133"/>
      <c r="R147" s="133"/>
      <c r="S147" s="133"/>
      <c r="T147" s="133"/>
      <c r="U147" s="133"/>
      <c r="V147" s="133"/>
      <c r="W147" s="133"/>
      <c r="X147" s="133"/>
      <c r="Y147" s="133"/>
      <c r="Z147" s="133"/>
      <c r="AA147" s="133"/>
    </row>
    <row r="148" spans="16:27">
      <c r="P148" s="133"/>
      <c r="Q148" s="133"/>
      <c r="R148" s="133"/>
      <c r="S148" s="133"/>
      <c r="T148" s="133"/>
      <c r="U148" s="133"/>
      <c r="V148" s="133"/>
      <c r="W148" s="133"/>
      <c r="X148" s="133"/>
      <c r="Y148" s="133"/>
      <c r="Z148" s="133"/>
      <c r="AA148" s="133"/>
    </row>
    <row r="149" spans="16:27">
      <c r="P149" s="133"/>
      <c r="Q149" s="133"/>
      <c r="R149" s="133"/>
      <c r="S149" s="133"/>
      <c r="T149" s="133"/>
      <c r="U149" s="133"/>
      <c r="V149" s="133"/>
      <c r="W149" s="133"/>
      <c r="X149" s="133"/>
      <c r="Y149" s="133"/>
      <c r="Z149" s="133"/>
      <c r="AA149" s="133"/>
    </row>
    <row r="150" spans="16:27">
      <c r="P150" s="133"/>
      <c r="Q150" s="133"/>
      <c r="R150" s="133"/>
      <c r="S150" s="133"/>
      <c r="T150" s="133"/>
      <c r="U150" s="133"/>
      <c r="V150" s="133"/>
      <c r="W150" s="133"/>
      <c r="X150" s="133"/>
      <c r="Y150" s="133"/>
      <c r="Z150" s="133"/>
      <c r="AA150" s="133"/>
    </row>
    <row r="151" spans="16:27">
      <c r="P151" s="133"/>
      <c r="Q151" s="133"/>
      <c r="R151" s="133"/>
      <c r="S151" s="133"/>
      <c r="T151" s="133"/>
      <c r="U151" s="133"/>
      <c r="V151" s="133"/>
      <c r="W151" s="133"/>
      <c r="X151" s="133"/>
      <c r="Y151" s="133"/>
      <c r="Z151" s="133"/>
      <c r="AA151" s="133"/>
    </row>
    <row r="152" spans="16:27">
      <c r="P152" s="133"/>
      <c r="Q152" s="133"/>
      <c r="R152" s="133"/>
      <c r="S152" s="133"/>
      <c r="T152" s="133"/>
      <c r="U152" s="133"/>
      <c r="V152" s="133"/>
      <c r="W152" s="133"/>
      <c r="X152" s="133"/>
      <c r="Y152" s="133"/>
      <c r="Z152" s="133"/>
      <c r="AA152" s="133"/>
    </row>
    <row r="153" spans="16:27">
      <c r="P153" s="133"/>
      <c r="Q153" s="133"/>
      <c r="R153" s="133"/>
      <c r="S153" s="133"/>
      <c r="T153" s="133"/>
      <c r="U153" s="133"/>
      <c r="V153" s="133"/>
      <c r="W153" s="133"/>
      <c r="X153" s="133"/>
      <c r="Y153" s="133"/>
      <c r="Z153" s="133"/>
      <c r="AA153" s="133"/>
    </row>
    <row r="154" spans="16:27">
      <c r="P154" s="133"/>
      <c r="Q154" s="133"/>
      <c r="R154" s="133"/>
      <c r="S154" s="133"/>
      <c r="T154" s="133"/>
      <c r="U154" s="133"/>
      <c r="V154" s="133"/>
      <c r="W154" s="133"/>
      <c r="X154" s="133"/>
      <c r="Y154" s="133"/>
      <c r="Z154" s="133"/>
      <c r="AA154" s="133"/>
    </row>
    <row r="155" spans="16:27">
      <c r="P155" s="133"/>
      <c r="Q155" s="133"/>
      <c r="R155" s="133"/>
      <c r="S155" s="133"/>
      <c r="T155" s="133"/>
      <c r="U155" s="133"/>
      <c r="V155" s="133"/>
      <c r="W155" s="133"/>
      <c r="X155" s="133"/>
      <c r="Y155" s="133"/>
      <c r="Z155" s="133"/>
      <c r="AA155" s="133"/>
    </row>
    <row r="156" spans="16:27">
      <c r="P156" s="133"/>
      <c r="Q156" s="133"/>
      <c r="R156" s="133"/>
      <c r="S156" s="133"/>
      <c r="T156" s="133"/>
      <c r="U156" s="133"/>
      <c r="V156" s="133"/>
      <c r="W156" s="133"/>
      <c r="X156" s="133"/>
      <c r="Y156" s="133"/>
      <c r="Z156" s="133"/>
      <c r="AA156" s="133"/>
    </row>
    <row r="157" spans="16:27">
      <c r="P157" s="133"/>
      <c r="Q157" s="133"/>
      <c r="R157" s="133"/>
      <c r="S157" s="133"/>
      <c r="T157" s="133"/>
      <c r="U157" s="133"/>
      <c r="V157" s="133"/>
      <c r="W157" s="133"/>
      <c r="X157" s="133"/>
      <c r="Y157" s="133"/>
      <c r="Z157" s="133"/>
      <c r="AA157" s="133"/>
    </row>
    <row r="158" spans="16:27">
      <c r="P158" s="133"/>
      <c r="Q158" s="133"/>
      <c r="R158" s="133"/>
      <c r="S158" s="133"/>
      <c r="T158" s="133"/>
      <c r="U158" s="133"/>
      <c r="V158" s="133"/>
      <c r="W158" s="133"/>
      <c r="X158" s="133"/>
      <c r="Y158" s="133"/>
      <c r="Z158" s="133"/>
      <c r="AA158" s="133"/>
    </row>
    <row r="159" spans="16:27">
      <c r="P159" s="133"/>
      <c r="Q159" s="133"/>
      <c r="R159" s="133"/>
      <c r="S159" s="133"/>
      <c r="T159" s="133"/>
      <c r="U159" s="133"/>
      <c r="V159" s="133"/>
      <c r="W159" s="133"/>
      <c r="X159" s="133"/>
      <c r="Y159" s="133"/>
      <c r="Z159" s="133"/>
      <c r="AA159" s="133"/>
    </row>
    <row r="160" spans="16:27">
      <c r="P160" s="133"/>
      <c r="Q160" s="133"/>
      <c r="R160" s="133"/>
      <c r="S160" s="133"/>
      <c r="T160" s="133"/>
      <c r="U160" s="133"/>
      <c r="V160" s="133"/>
      <c r="W160" s="133"/>
      <c r="X160" s="133"/>
      <c r="Y160" s="133"/>
      <c r="Z160" s="133"/>
      <c r="AA160" s="133"/>
    </row>
    <row r="161" spans="16:27">
      <c r="P161" s="133"/>
      <c r="Q161" s="133"/>
      <c r="R161" s="133"/>
      <c r="S161" s="133"/>
      <c r="T161" s="133"/>
      <c r="U161" s="133"/>
      <c r="V161" s="133"/>
      <c r="W161" s="133"/>
      <c r="X161" s="133"/>
      <c r="Y161" s="133"/>
      <c r="Z161" s="133"/>
      <c r="AA161" s="133"/>
    </row>
    <row r="162" spans="16:27">
      <c r="P162" s="133"/>
      <c r="Q162" s="133"/>
      <c r="R162" s="133"/>
      <c r="S162" s="133"/>
      <c r="T162" s="133"/>
      <c r="U162" s="133"/>
      <c r="V162" s="133"/>
      <c r="W162" s="133"/>
      <c r="X162" s="133"/>
      <c r="Y162" s="133"/>
      <c r="Z162" s="133"/>
      <c r="AA162" s="133"/>
    </row>
    <row r="163" spans="16:27">
      <c r="P163" s="133"/>
      <c r="Q163" s="133"/>
      <c r="R163" s="133"/>
      <c r="S163" s="133"/>
      <c r="T163" s="133"/>
      <c r="U163" s="133"/>
      <c r="V163" s="133"/>
      <c r="W163" s="133"/>
      <c r="X163" s="133"/>
      <c r="Y163" s="133"/>
      <c r="Z163" s="133"/>
      <c r="AA163" s="133"/>
    </row>
    <row r="164" spans="16:27">
      <c r="P164" s="133"/>
      <c r="Q164" s="133"/>
      <c r="R164" s="133"/>
      <c r="S164" s="133"/>
      <c r="T164" s="133"/>
      <c r="U164" s="133"/>
      <c r="V164" s="133"/>
      <c r="W164" s="133"/>
      <c r="X164" s="133"/>
      <c r="Y164" s="133"/>
      <c r="Z164" s="133"/>
      <c r="AA164" s="133"/>
    </row>
    <row r="165" spans="16:27">
      <c r="P165" s="133"/>
      <c r="Q165" s="133"/>
      <c r="R165" s="133"/>
      <c r="S165" s="133"/>
      <c r="T165" s="133"/>
      <c r="U165" s="133"/>
      <c r="V165" s="133"/>
      <c r="W165" s="133"/>
      <c r="X165" s="133"/>
      <c r="Y165" s="133"/>
      <c r="Z165" s="133"/>
      <c r="AA165" s="133"/>
    </row>
    <row r="166" spans="16:27">
      <c r="P166" s="133"/>
      <c r="Q166" s="133"/>
      <c r="R166" s="133"/>
      <c r="S166" s="133"/>
      <c r="T166" s="133"/>
      <c r="U166" s="133"/>
      <c r="V166" s="133"/>
      <c r="W166" s="133"/>
      <c r="X166" s="133"/>
      <c r="Y166" s="133"/>
      <c r="Z166" s="133"/>
      <c r="AA166" s="133"/>
    </row>
    <row r="167" spans="16:27">
      <c r="P167" s="133"/>
      <c r="Q167" s="133"/>
      <c r="R167" s="133"/>
      <c r="S167" s="133"/>
      <c r="T167" s="133"/>
      <c r="U167" s="133"/>
      <c r="V167" s="133"/>
      <c r="W167" s="133"/>
      <c r="X167" s="133"/>
      <c r="Y167" s="133"/>
      <c r="Z167" s="133"/>
      <c r="AA167" s="133"/>
    </row>
    <row r="168" spans="16:27">
      <c r="P168" s="133"/>
      <c r="Q168" s="133"/>
      <c r="R168" s="133"/>
      <c r="S168" s="133"/>
      <c r="T168" s="133"/>
      <c r="U168" s="133"/>
      <c r="V168" s="133"/>
      <c r="W168" s="133"/>
      <c r="X168" s="133"/>
      <c r="Y168" s="133"/>
      <c r="Z168" s="133"/>
      <c r="AA168" s="133"/>
    </row>
    <row r="169" spans="16:27">
      <c r="P169" s="133"/>
      <c r="Q169" s="133"/>
      <c r="R169" s="133"/>
      <c r="S169" s="133"/>
      <c r="T169" s="133"/>
      <c r="U169" s="133"/>
      <c r="V169" s="133"/>
      <c r="W169" s="133"/>
      <c r="X169" s="133"/>
      <c r="Y169" s="133"/>
      <c r="Z169" s="133"/>
      <c r="AA169" s="133"/>
    </row>
    <row r="170" spans="16:27">
      <c r="P170" s="133"/>
      <c r="Q170" s="133"/>
      <c r="R170" s="133"/>
      <c r="S170" s="133"/>
      <c r="T170" s="133"/>
      <c r="U170" s="133"/>
      <c r="V170" s="133"/>
      <c r="W170" s="133"/>
      <c r="X170" s="133"/>
      <c r="Y170" s="133"/>
      <c r="Z170" s="133"/>
      <c r="AA170" s="133"/>
    </row>
    <row r="171" spans="16:27">
      <c r="P171" s="133"/>
      <c r="Q171" s="133"/>
      <c r="R171" s="133"/>
      <c r="S171" s="133"/>
      <c r="T171" s="133"/>
      <c r="U171" s="133"/>
      <c r="V171" s="133"/>
      <c r="W171" s="133"/>
      <c r="X171" s="133"/>
      <c r="Y171" s="133"/>
      <c r="Z171" s="133"/>
      <c r="AA171" s="133"/>
    </row>
    <row r="172" spans="16:27">
      <c r="P172" s="133"/>
      <c r="Q172" s="133"/>
      <c r="R172" s="133"/>
      <c r="S172" s="133"/>
      <c r="T172" s="133"/>
      <c r="U172" s="133"/>
      <c r="V172" s="133"/>
      <c r="W172" s="133"/>
      <c r="X172" s="133"/>
      <c r="Y172" s="133"/>
      <c r="Z172" s="133"/>
      <c r="AA172" s="133"/>
    </row>
    <row r="173" spans="16:27">
      <c r="P173" s="133"/>
      <c r="Q173" s="133"/>
      <c r="R173" s="133"/>
      <c r="S173" s="133"/>
      <c r="T173" s="133"/>
      <c r="U173" s="133"/>
      <c r="V173" s="133"/>
      <c r="W173" s="133"/>
      <c r="X173" s="133"/>
      <c r="Y173" s="133"/>
      <c r="Z173" s="133"/>
      <c r="AA173" s="133"/>
    </row>
    <row r="174" spans="16:27">
      <c r="P174" s="133"/>
      <c r="Q174" s="133"/>
      <c r="R174" s="133"/>
      <c r="S174" s="133"/>
      <c r="T174" s="133"/>
      <c r="U174" s="133"/>
      <c r="V174" s="133"/>
      <c r="W174" s="133"/>
      <c r="X174" s="133"/>
      <c r="Y174" s="133"/>
      <c r="Z174" s="133"/>
      <c r="AA174" s="133"/>
    </row>
    <row r="175" spans="16:27">
      <c r="P175" s="133"/>
      <c r="Q175" s="133"/>
      <c r="R175" s="133"/>
      <c r="S175" s="133"/>
      <c r="T175" s="133"/>
      <c r="U175" s="133"/>
      <c r="V175" s="133"/>
      <c r="W175" s="133"/>
      <c r="X175" s="133"/>
      <c r="Y175" s="133"/>
      <c r="Z175" s="133"/>
      <c r="AA175" s="133"/>
    </row>
    <row r="176" spans="16:27">
      <c r="P176" s="133"/>
      <c r="Q176" s="133"/>
      <c r="R176" s="133"/>
      <c r="S176" s="133"/>
      <c r="T176" s="133"/>
      <c r="U176" s="133"/>
      <c r="V176" s="133"/>
      <c r="W176" s="133"/>
      <c r="X176" s="133"/>
      <c r="Y176" s="133"/>
      <c r="Z176" s="133"/>
      <c r="AA176" s="133"/>
    </row>
    <row r="177" spans="16:27">
      <c r="P177" s="133"/>
      <c r="Q177" s="133"/>
      <c r="R177" s="133"/>
      <c r="S177" s="133"/>
      <c r="T177" s="133"/>
      <c r="U177" s="133"/>
      <c r="V177" s="133"/>
      <c r="W177" s="133"/>
      <c r="X177" s="133"/>
      <c r="Y177" s="133"/>
      <c r="Z177" s="133"/>
      <c r="AA177" s="133"/>
    </row>
    <row r="178" spans="16:27">
      <c r="P178" s="133"/>
      <c r="Q178" s="133"/>
      <c r="R178" s="133"/>
      <c r="S178" s="133"/>
      <c r="T178" s="133"/>
      <c r="U178" s="133"/>
      <c r="V178" s="133"/>
      <c r="W178" s="133"/>
      <c r="X178" s="133"/>
      <c r="Y178" s="133"/>
      <c r="Z178" s="133"/>
      <c r="AA178" s="133"/>
    </row>
    <row r="179" spans="16:27">
      <c r="P179" s="133"/>
      <c r="Q179" s="133"/>
      <c r="R179" s="133"/>
      <c r="S179" s="133"/>
      <c r="T179" s="133"/>
      <c r="U179" s="133"/>
      <c r="V179" s="133"/>
      <c r="W179" s="133"/>
      <c r="X179" s="133"/>
      <c r="Y179" s="133"/>
      <c r="Z179" s="133"/>
      <c r="AA179" s="133"/>
    </row>
    <row r="180" spans="16:27">
      <c r="P180" s="133"/>
      <c r="Q180" s="133"/>
      <c r="R180" s="133"/>
      <c r="S180" s="133"/>
      <c r="T180" s="133"/>
      <c r="U180" s="133"/>
      <c r="V180" s="133"/>
      <c r="W180" s="133"/>
      <c r="X180" s="133"/>
      <c r="Y180" s="133"/>
      <c r="Z180" s="133"/>
      <c r="AA180" s="133"/>
    </row>
  </sheetData>
  <mergeCells count="22">
    <mergeCell ref="B62:J62"/>
    <mergeCell ref="J8:M8"/>
    <mergeCell ref="N8:O8"/>
    <mergeCell ref="K9:O9"/>
    <mergeCell ref="K10:K13"/>
    <mergeCell ref="L10:L13"/>
    <mergeCell ref="A1:O1"/>
    <mergeCell ref="A2:O2"/>
    <mergeCell ref="A9:A13"/>
    <mergeCell ref="B9:B13"/>
    <mergeCell ref="C9:C13"/>
    <mergeCell ref="D9:D13"/>
    <mergeCell ref="E9:J9"/>
    <mergeCell ref="E10:E13"/>
    <mergeCell ref="F10:F13"/>
    <mergeCell ref="G10:G13"/>
    <mergeCell ref="H10:H13"/>
    <mergeCell ref="I10:I13"/>
    <mergeCell ref="J10:J13"/>
    <mergeCell ref="M10:M13"/>
    <mergeCell ref="N10:N13"/>
    <mergeCell ref="O10:O13"/>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50"/>
  <sheetViews>
    <sheetView topLeftCell="A22" zoomScale="110" zoomScaleNormal="110" workbookViewId="0">
      <selection activeCell="K37" sqref="K37"/>
    </sheetView>
  </sheetViews>
  <sheetFormatPr defaultColWidth="9.140625" defaultRowHeight="14.25"/>
  <cols>
    <col min="1" max="1" width="6.28515625" style="142" customWidth="1"/>
    <col min="2" max="2" width="41.85546875" style="142" customWidth="1"/>
    <col min="3" max="3" width="5.5703125" style="142" customWidth="1"/>
    <col min="4" max="4" width="7.28515625" style="143" customWidth="1"/>
    <col min="5" max="6" width="8.140625" style="143" customWidth="1"/>
    <col min="7" max="10" width="8.140625" style="142" customWidth="1"/>
    <col min="11" max="12" width="9.28515625" style="142" customWidth="1"/>
    <col min="13" max="13" width="9.5703125" style="142" customWidth="1"/>
    <col min="14" max="14" width="9.28515625" style="142" customWidth="1"/>
    <col min="15" max="15" width="10.28515625" style="142" customWidth="1"/>
    <col min="16" max="16" width="9.28515625" style="142" customWidth="1"/>
    <col min="17" max="246" width="9.140625" style="142"/>
    <col min="247" max="247" width="4.28515625" style="142" customWidth="1"/>
    <col min="248" max="248" width="42" style="142" customWidth="1"/>
    <col min="249" max="249" width="6.85546875" style="142" customWidth="1"/>
    <col min="250" max="250" width="10.42578125" style="142" bestFit="1" customWidth="1"/>
    <col min="251" max="251" width="9.42578125" style="142" customWidth="1"/>
    <col min="252" max="252" width="8.85546875" style="142" customWidth="1"/>
    <col min="253" max="254" width="8.7109375" style="142" customWidth="1"/>
    <col min="255" max="255" width="9.5703125" style="142" customWidth="1"/>
    <col min="256" max="256" width="9" style="142" customWidth="1"/>
    <col min="257" max="257" width="10" style="142" customWidth="1"/>
    <col min="258" max="258" width="11" style="142" customWidth="1"/>
    <col min="259" max="261" width="9.140625" style="142" customWidth="1"/>
    <col min="262" max="268" width="2.140625" style="142" customWidth="1"/>
    <col min="269" max="502" width="9.140625" style="142"/>
    <col min="503" max="503" width="4.28515625" style="142" customWidth="1"/>
    <col min="504" max="504" width="42" style="142" customWidth="1"/>
    <col min="505" max="505" width="6.85546875" style="142" customWidth="1"/>
    <col min="506" max="506" width="10.42578125" style="142" bestFit="1" customWidth="1"/>
    <col min="507" max="507" width="9.42578125" style="142" customWidth="1"/>
    <col min="508" max="508" width="8.85546875" style="142" customWidth="1"/>
    <col min="509" max="510" width="8.7109375" style="142" customWidth="1"/>
    <col min="511" max="511" width="9.5703125" style="142" customWidth="1"/>
    <col min="512" max="512" width="9" style="142" customWidth="1"/>
    <col min="513" max="513" width="10" style="142" customWidth="1"/>
    <col min="514" max="514" width="11" style="142" customWidth="1"/>
    <col min="515" max="517" width="9.140625" style="142" customWidth="1"/>
    <col min="518" max="524" width="2.140625" style="142" customWidth="1"/>
    <col min="525" max="758" width="9.140625" style="142"/>
    <col min="759" max="759" width="4.28515625" style="142" customWidth="1"/>
    <col min="760" max="760" width="42" style="142" customWidth="1"/>
    <col min="761" max="761" width="6.85546875" style="142" customWidth="1"/>
    <col min="762" max="762" width="10.42578125" style="142" bestFit="1" customWidth="1"/>
    <col min="763" max="763" width="9.42578125" style="142" customWidth="1"/>
    <col min="764" max="764" width="8.85546875" style="142" customWidth="1"/>
    <col min="765" max="766" width="8.7109375" style="142" customWidth="1"/>
    <col min="767" max="767" width="9.5703125" style="142" customWidth="1"/>
    <col min="768" max="768" width="9" style="142" customWidth="1"/>
    <col min="769" max="769" width="10" style="142" customWidth="1"/>
    <col min="770" max="770" width="11" style="142" customWidth="1"/>
    <col min="771" max="773" width="9.140625" style="142" customWidth="1"/>
    <col min="774" max="780" width="2.140625" style="142" customWidth="1"/>
    <col min="781" max="1014" width="9.140625" style="142"/>
    <col min="1015" max="1015" width="4.28515625" style="142" customWidth="1"/>
    <col min="1016" max="1016" width="42" style="142" customWidth="1"/>
    <col min="1017" max="1017" width="6.85546875" style="142" customWidth="1"/>
    <col min="1018" max="1018" width="10.42578125" style="142" bestFit="1" customWidth="1"/>
    <col min="1019" max="1019" width="9.42578125" style="142" customWidth="1"/>
    <col min="1020" max="1020" width="8.85546875" style="142" customWidth="1"/>
    <col min="1021" max="1022" width="8.7109375" style="142" customWidth="1"/>
    <col min="1023" max="1023" width="9.5703125" style="142" customWidth="1"/>
    <col min="1024" max="1024" width="9" style="142" customWidth="1"/>
    <col min="1025" max="1025" width="10" style="142" customWidth="1"/>
    <col min="1026" max="1026" width="11" style="142" customWidth="1"/>
    <col min="1027" max="1029" width="9.140625" style="142" customWidth="1"/>
    <col min="1030" max="1036" width="2.140625" style="142" customWidth="1"/>
    <col min="1037" max="1270" width="9.140625" style="142"/>
    <col min="1271" max="1271" width="4.28515625" style="142" customWidth="1"/>
    <col min="1272" max="1272" width="42" style="142" customWidth="1"/>
    <col min="1273" max="1273" width="6.85546875" style="142" customWidth="1"/>
    <col min="1274" max="1274" width="10.42578125" style="142" bestFit="1" customWidth="1"/>
    <col min="1275" max="1275" width="9.42578125" style="142" customWidth="1"/>
    <col min="1276" max="1276" width="8.85546875" style="142" customWidth="1"/>
    <col min="1277" max="1278" width="8.7109375" style="142" customWidth="1"/>
    <col min="1279" max="1279" width="9.5703125" style="142" customWidth="1"/>
    <col min="1280" max="1280" width="9" style="142" customWidth="1"/>
    <col min="1281" max="1281" width="10" style="142" customWidth="1"/>
    <col min="1282" max="1282" width="11" style="142" customWidth="1"/>
    <col min="1283" max="1285" width="9.140625" style="142" customWidth="1"/>
    <col min="1286" max="1292" width="2.140625" style="142" customWidth="1"/>
    <col min="1293" max="1526" width="9.140625" style="142"/>
    <col min="1527" max="1527" width="4.28515625" style="142" customWidth="1"/>
    <col min="1528" max="1528" width="42" style="142" customWidth="1"/>
    <col min="1529" max="1529" width="6.85546875" style="142" customWidth="1"/>
    <col min="1530" max="1530" width="10.42578125" style="142" bestFit="1" customWidth="1"/>
    <col min="1531" max="1531" width="9.42578125" style="142" customWidth="1"/>
    <col min="1532" max="1532" width="8.85546875" style="142" customWidth="1"/>
    <col min="1533" max="1534" width="8.7109375" style="142" customWidth="1"/>
    <col min="1535" max="1535" width="9.5703125" style="142" customWidth="1"/>
    <col min="1536" max="1536" width="9" style="142" customWidth="1"/>
    <col min="1537" max="1537" width="10" style="142" customWidth="1"/>
    <col min="1538" max="1538" width="11" style="142" customWidth="1"/>
    <col min="1539" max="1541" width="9.140625" style="142" customWidth="1"/>
    <col min="1542" max="1548" width="2.140625" style="142" customWidth="1"/>
    <col min="1549" max="1782" width="9.140625" style="142"/>
    <col min="1783" max="1783" width="4.28515625" style="142" customWidth="1"/>
    <col min="1784" max="1784" width="42" style="142" customWidth="1"/>
    <col min="1785" max="1785" width="6.85546875" style="142" customWidth="1"/>
    <col min="1786" max="1786" width="10.42578125" style="142" bestFit="1" customWidth="1"/>
    <col min="1787" max="1787" width="9.42578125" style="142" customWidth="1"/>
    <col min="1788" max="1788" width="8.85546875" style="142" customWidth="1"/>
    <col min="1789" max="1790" width="8.7109375" style="142" customWidth="1"/>
    <col min="1791" max="1791" width="9.5703125" style="142" customWidth="1"/>
    <col min="1792" max="1792" width="9" style="142" customWidth="1"/>
    <col min="1793" max="1793" width="10" style="142" customWidth="1"/>
    <col min="1794" max="1794" width="11" style="142" customWidth="1"/>
    <col min="1795" max="1797" width="9.140625" style="142" customWidth="1"/>
    <col min="1798" max="1804" width="2.140625" style="142" customWidth="1"/>
    <col min="1805" max="2038" width="9.140625" style="142"/>
    <col min="2039" max="2039" width="4.28515625" style="142" customWidth="1"/>
    <col min="2040" max="2040" width="42" style="142" customWidth="1"/>
    <col min="2041" max="2041" width="6.85546875" style="142" customWidth="1"/>
    <col min="2042" max="2042" width="10.42578125" style="142" bestFit="1" customWidth="1"/>
    <col min="2043" max="2043" width="9.42578125" style="142" customWidth="1"/>
    <col min="2044" max="2044" width="8.85546875" style="142" customWidth="1"/>
    <col min="2045" max="2046" width="8.7109375" style="142" customWidth="1"/>
    <col min="2047" max="2047" width="9.5703125" style="142" customWidth="1"/>
    <col min="2048" max="2048" width="9" style="142" customWidth="1"/>
    <col min="2049" max="2049" width="10" style="142" customWidth="1"/>
    <col min="2050" max="2050" width="11" style="142" customWidth="1"/>
    <col min="2051" max="2053" width="9.140625" style="142" customWidth="1"/>
    <col min="2054" max="2060" width="2.140625" style="142" customWidth="1"/>
    <col min="2061" max="2294" width="9.140625" style="142"/>
    <col min="2295" max="2295" width="4.28515625" style="142" customWidth="1"/>
    <col min="2296" max="2296" width="42" style="142" customWidth="1"/>
    <col min="2297" max="2297" width="6.85546875" style="142" customWidth="1"/>
    <col min="2298" max="2298" width="10.42578125" style="142" bestFit="1" customWidth="1"/>
    <col min="2299" max="2299" width="9.42578125" style="142" customWidth="1"/>
    <col min="2300" max="2300" width="8.85546875" style="142" customWidth="1"/>
    <col min="2301" max="2302" width="8.7109375" style="142" customWidth="1"/>
    <col min="2303" max="2303" width="9.5703125" style="142" customWidth="1"/>
    <col min="2304" max="2304" width="9" style="142" customWidth="1"/>
    <col min="2305" max="2305" width="10" style="142" customWidth="1"/>
    <col min="2306" max="2306" width="11" style="142" customWidth="1"/>
    <col min="2307" max="2309" width="9.140625" style="142" customWidth="1"/>
    <col min="2310" max="2316" width="2.140625" style="142" customWidth="1"/>
    <col min="2317" max="2550" width="9.140625" style="142"/>
    <col min="2551" max="2551" width="4.28515625" style="142" customWidth="1"/>
    <col min="2552" max="2552" width="42" style="142" customWidth="1"/>
    <col min="2553" max="2553" width="6.85546875" style="142" customWidth="1"/>
    <col min="2554" max="2554" width="10.42578125" style="142" bestFit="1" customWidth="1"/>
    <col min="2555" max="2555" width="9.42578125" style="142" customWidth="1"/>
    <col min="2556" max="2556" width="8.85546875" style="142" customWidth="1"/>
    <col min="2557" max="2558" width="8.7109375" style="142" customWidth="1"/>
    <col min="2559" max="2559" width="9.5703125" style="142" customWidth="1"/>
    <col min="2560" max="2560" width="9" style="142" customWidth="1"/>
    <col min="2561" max="2561" width="10" style="142" customWidth="1"/>
    <col min="2562" max="2562" width="11" style="142" customWidth="1"/>
    <col min="2563" max="2565" width="9.140625" style="142" customWidth="1"/>
    <col min="2566" max="2572" width="2.140625" style="142" customWidth="1"/>
    <col min="2573" max="2806" width="9.140625" style="142"/>
    <col min="2807" max="2807" width="4.28515625" style="142" customWidth="1"/>
    <col min="2808" max="2808" width="42" style="142" customWidth="1"/>
    <col min="2809" max="2809" width="6.85546875" style="142" customWidth="1"/>
    <col min="2810" max="2810" width="10.42578125" style="142" bestFit="1" customWidth="1"/>
    <col min="2811" max="2811" width="9.42578125" style="142" customWidth="1"/>
    <col min="2812" max="2812" width="8.85546875" style="142" customWidth="1"/>
    <col min="2813" max="2814" width="8.7109375" style="142" customWidth="1"/>
    <col min="2815" max="2815" width="9.5703125" style="142" customWidth="1"/>
    <col min="2816" max="2816" width="9" style="142" customWidth="1"/>
    <col min="2817" max="2817" width="10" style="142" customWidth="1"/>
    <col min="2818" max="2818" width="11" style="142" customWidth="1"/>
    <col min="2819" max="2821" width="9.140625" style="142" customWidth="1"/>
    <col min="2822" max="2828" width="2.140625" style="142" customWidth="1"/>
    <col min="2829" max="3062" width="9.140625" style="142"/>
    <col min="3063" max="3063" width="4.28515625" style="142" customWidth="1"/>
    <col min="3064" max="3064" width="42" style="142" customWidth="1"/>
    <col min="3065" max="3065" width="6.85546875" style="142" customWidth="1"/>
    <col min="3066" max="3066" width="10.42578125" style="142" bestFit="1" customWidth="1"/>
    <col min="3067" max="3067" width="9.42578125" style="142" customWidth="1"/>
    <col min="3068" max="3068" width="8.85546875" style="142" customWidth="1"/>
    <col min="3069" max="3070" width="8.7109375" style="142" customWidth="1"/>
    <col min="3071" max="3071" width="9.5703125" style="142" customWidth="1"/>
    <col min="3072" max="3072" width="9" style="142" customWidth="1"/>
    <col min="3073" max="3073" width="10" style="142" customWidth="1"/>
    <col min="3074" max="3074" width="11" style="142" customWidth="1"/>
    <col min="3075" max="3077" width="9.140625" style="142" customWidth="1"/>
    <col min="3078" max="3084" width="2.140625" style="142" customWidth="1"/>
    <col min="3085" max="3318" width="9.140625" style="142"/>
    <col min="3319" max="3319" width="4.28515625" style="142" customWidth="1"/>
    <col min="3320" max="3320" width="42" style="142" customWidth="1"/>
    <col min="3321" max="3321" width="6.85546875" style="142" customWidth="1"/>
    <col min="3322" max="3322" width="10.42578125" style="142" bestFit="1" customWidth="1"/>
    <col min="3323" max="3323" width="9.42578125" style="142" customWidth="1"/>
    <col min="3324" max="3324" width="8.85546875" style="142" customWidth="1"/>
    <col min="3325" max="3326" width="8.7109375" style="142" customWidth="1"/>
    <col min="3327" max="3327" width="9.5703125" style="142" customWidth="1"/>
    <col min="3328" max="3328" width="9" style="142" customWidth="1"/>
    <col min="3329" max="3329" width="10" style="142" customWidth="1"/>
    <col min="3330" max="3330" width="11" style="142" customWidth="1"/>
    <col min="3331" max="3333" width="9.140625" style="142" customWidth="1"/>
    <col min="3334" max="3340" width="2.140625" style="142" customWidth="1"/>
    <col min="3341" max="3574" width="9.140625" style="142"/>
    <col min="3575" max="3575" width="4.28515625" style="142" customWidth="1"/>
    <col min="3576" max="3576" width="42" style="142" customWidth="1"/>
    <col min="3577" max="3577" width="6.85546875" style="142" customWidth="1"/>
    <col min="3578" max="3578" width="10.42578125" style="142" bestFit="1" customWidth="1"/>
    <col min="3579" max="3579" width="9.42578125" style="142" customWidth="1"/>
    <col min="3580" max="3580" width="8.85546875" style="142" customWidth="1"/>
    <col min="3581" max="3582" width="8.7109375" style="142" customWidth="1"/>
    <col min="3583" max="3583" width="9.5703125" style="142" customWidth="1"/>
    <col min="3584" max="3584" width="9" style="142" customWidth="1"/>
    <col min="3585" max="3585" width="10" style="142" customWidth="1"/>
    <col min="3586" max="3586" width="11" style="142" customWidth="1"/>
    <col min="3587" max="3589" width="9.140625" style="142" customWidth="1"/>
    <col min="3590" max="3596" width="2.140625" style="142" customWidth="1"/>
    <col min="3597" max="3830" width="9.140625" style="142"/>
    <col min="3831" max="3831" width="4.28515625" style="142" customWidth="1"/>
    <col min="3832" max="3832" width="42" style="142" customWidth="1"/>
    <col min="3833" max="3833" width="6.85546875" style="142" customWidth="1"/>
    <col min="3834" max="3834" width="10.42578125" style="142" bestFit="1" customWidth="1"/>
    <col min="3835" max="3835" width="9.42578125" style="142" customWidth="1"/>
    <col min="3836" max="3836" width="8.85546875" style="142" customWidth="1"/>
    <col min="3837" max="3838" width="8.7109375" style="142" customWidth="1"/>
    <col min="3839" max="3839" width="9.5703125" style="142" customWidth="1"/>
    <col min="3840" max="3840" width="9" style="142" customWidth="1"/>
    <col min="3841" max="3841" width="10" style="142" customWidth="1"/>
    <col min="3842" max="3842" width="11" style="142" customWidth="1"/>
    <col min="3843" max="3845" width="9.140625" style="142" customWidth="1"/>
    <col min="3846" max="3852" width="2.140625" style="142" customWidth="1"/>
    <col min="3853" max="4086" width="9.140625" style="142"/>
    <col min="4087" max="4087" width="4.28515625" style="142" customWidth="1"/>
    <col min="4088" max="4088" width="42" style="142" customWidth="1"/>
    <col min="4089" max="4089" width="6.85546875" style="142" customWidth="1"/>
    <col min="4090" max="4090" width="10.42578125" style="142" bestFit="1" customWidth="1"/>
    <col min="4091" max="4091" width="9.42578125" style="142" customWidth="1"/>
    <col min="4092" max="4092" width="8.85546875" style="142" customWidth="1"/>
    <col min="4093" max="4094" width="8.7109375" style="142" customWidth="1"/>
    <col min="4095" max="4095" width="9.5703125" style="142" customWidth="1"/>
    <col min="4096" max="4096" width="9" style="142" customWidth="1"/>
    <col min="4097" max="4097" width="10" style="142" customWidth="1"/>
    <col min="4098" max="4098" width="11" style="142" customWidth="1"/>
    <col min="4099" max="4101" width="9.140625" style="142" customWidth="1"/>
    <col min="4102" max="4108" width="2.140625" style="142" customWidth="1"/>
    <col min="4109" max="4342" width="9.140625" style="142"/>
    <col min="4343" max="4343" width="4.28515625" style="142" customWidth="1"/>
    <col min="4344" max="4344" width="42" style="142" customWidth="1"/>
    <col min="4345" max="4345" width="6.85546875" style="142" customWidth="1"/>
    <col min="4346" max="4346" width="10.42578125" style="142" bestFit="1" customWidth="1"/>
    <col min="4347" max="4347" width="9.42578125" style="142" customWidth="1"/>
    <col min="4348" max="4348" width="8.85546875" style="142" customWidth="1"/>
    <col min="4349" max="4350" width="8.7109375" style="142" customWidth="1"/>
    <col min="4351" max="4351" width="9.5703125" style="142" customWidth="1"/>
    <col min="4352" max="4352" width="9" style="142" customWidth="1"/>
    <col min="4353" max="4353" width="10" style="142" customWidth="1"/>
    <col min="4354" max="4354" width="11" style="142" customWidth="1"/>
    <col min="4355" max="4357" width="9.140625" style="142" customWidth="1"/>
    <col min="4358" max="4364" width="2.140625" style="142" customWidth="1"/>
    <col min="4365" max="4598" width="9.140625" style="142"/>
    <col min="4599" max="4599" width="4.28515625" style="142" customWidth="1"/>
    <col min="4600" max="4600" width="42" style="142" customWidth="1"/>
    <col min="4601" max="4601" width="6.85546875" style="142" customWidth="1"/>
    <col min="4602" max="4602" width="10.42578125" style="142" bestFit="1" customWidth="1"/>
    <col min="4603" max="4603" width="9.42578125" style="142" customWidth="1"/>
    <col min="4604" max="4604" width="8.85546875" style="142" customWidth="1"/>
    <col min="4605" max="4606" width="8.7109375" style="142" customWidth="1"/>
    <col min="4607" max="4607" width="9.5703125" style="142" customWidth="1"/>
    <col min="4608" max="4608" width="9" style="142" customWidth="1"/>
    <col min="4609" max="4609" width="10" style="142" customWidth="1"/>
    <col min="4610" max="4610" width="11" style="142" customWidth="1"/>
    <col min="4611" max="4613" width="9.140625" style="142" customWidth="1"/>
    <col min="4614" max="4620" width="2.140625" style="142" customWidth="1"/>
    <col min="4621" max="4854" width="9.140625" style="142"/>
    <col min="4855" max="4855" width="4.28515625" style="142" customWidth="1"/>
    <col min="4856" max="4856" width="42" style="142" customWidth="1"/>
    <col min="4857" max="4857" width="6.85546875" style="142" customWidth="1"/>
    <col min="4858" max="4858" width="10.42578125" style="142" bestFit="1" customWidth="1"/>
    <col min="4859" max="4859" width="9.42578125" style="142" customWidth="1"/>
    <col min="4860" max="4860" width="8.85546875" style="142" customWidth="1"/>
    <col min="4861" max="4862" width="8.7109375" style="142" customWidth="1"/>
    <col min="4863" max="4863" width="9.5703125" style="142" customWidth="1"/>
    <col min="4864" max="4864" width="9" style="142" customWidth="1"/>
    <col min="4865" max="4865" width="10" style="142" customWidth="1"/>
    <col min="4866" max="4866" width="11" style="142" customWidth="1"/>
    <col min="4867" max="4869" width="9.140625" style="142" customWidth="1"/>
    <col min="4870" max="4876" width="2.140625" style="142" customWidth="1"/>
    <col min="4877" max="5110" width="9.140625" style="142"/>
    <col min="5111" max="5111" width="4.28515625" style="142" customWidth="1"/>
    <col min="5112" max="5112" width="42" style="142" customWidth="1"/>
    <col min="5113" max="5113" width="6.85546875" style="142" customWidth="1"/>
    <col min="5114" max="5114" width="10.42578125" style="142" bestFit="1" customWidth="1"/>
    <col min="5115" max="5115" width="9.42578125" style="142" customWidth="1"/>
    <col min="5116" max="5116" width="8.85546875" style="142" customWidth="1"/>
    <col min="5117" max="5118" width="8.7109375" style="142" customWidth="1"/>
    <col min="5119" max="5119" width="9.5703125" style="142" customWidth="1"/>
    <col min="5120" max="5120" width="9" style="142" customWidth="1"/>
    <col min="5121" max="5121" width="10" style="142" customWidth="1"/>
    <col min="5122" max="5122" width="11" style="142" customWidth="1"/>
    <col min="5123" max="5125" width="9.140625" style="142" customWidth="1"/>
    <col min="5126" max="5132" width="2.140625" style="142" customWidth="1"/>
    <col min="5133" max="5366" width="9.140625" style="142"/>
    <col min="5367" max="5367" width="4.28515625" style="142" customWidth="1"/>
    <col min="5368" max="5368" width="42" style="142" customWidth="1"/>
    <col min="5369" max="5369" width="6.85546875" style="142" customWidth="1"/>
    <col min="5370" max="5370" width="10.42578125" style="142" bestFit="1" customWidth="1"/>
    <col min="5371" max="5371" width="9.42578125" style="142" customWidth="1"/>
    <col min="5372" max="5372" width="8.85546875" style="142" customWidth="1"/>
    <col min="5373" max="5374" width="8.7109375" style="142" customWidth="1"/>
    <col min="5375" max="5375" width="9.5703125" style="142" customWidth="1"/>
    <col min="5376" max="5376" width="9" style="142" customWidth="1"/>
    <col min="5377" max="5377" width="10" style="142" customWidth="1"/>
    <col min="5378" max="5378" width="11" style="142" customWidth="1"/>
    <col min="5379" max="5381" width="9.140625" style="142" customWidth="1"/>
    <col min="5382" max="5388" width="2.140625" style="142" customWidth="1"/>
    <col min="5389" max="5622" width="9.140625" style="142"/>
    <col min="5623" max="5623" width="4.28515625" style="142" customWidth="1"/>
    <col min="5624" max="5624" width="42" style="142" customWidth="1"/>
    <col min="5625" max="5625" width="6.85546875" style="142" customWidth="1"/>
    <col min="5626" max="5626" width="10.42578125" style="142" bestFit="1" customWidth="1"/>
    <col min="5627" max="5627" width="9.42578125" style="142" customWidth="1"/>
    <col min="5628" max="5628" width="8.85546875" style="142" customWidth="1"/>
    <col min="5629" max="5630" width="8.7109375" style="142" customWidth="1"/>
    <col min="5631" max="5631" width="9.5703125" style="142" customWidth="1"/>
    <col min="5632" max="5632" width="9" style="142" customWidth="1"/>
    <col min="5633" max="5633" width="10" style="142" customWidth="1"/>
    <col min="5634" max="5634" width="11" style="142" customWidth="1"/>
    <col min="5635" max="5637" width="9.140625" style="142" customWidth="1"/>
    <col min="5638" max="5644" width="2.140625" style="142" customWidth="1"/>
    <col min="5645" max="5878" width="9.140625" style="142"/>
    <col min="5879" max="5879" width="4.28515625" style="142" customWidth="1"/>
    <col min="5880" max="5880" width="42" style="142" customWidth="1"/>
    <col min="5881" max="5881" width="6.85546875" style="142" customWidth="1"/>
    <col min="5882" max="5882" width="10.42578125" style="142" bestFit="1" customWidth="1"/>
    <col min="5883" max="5883" width="9.42578125" style="142" customWidth="1"/>
    <col min="5884" max="5884" width="8.85546875" style="142" customWidth="1"/>
    <col min="5885" max="5886" width="8.7109375" style="142" customWidth="1"/>
    <col min="5887" max="5887" width="9.5703125" style="142" customWidth="1"/>
    <col min="5888" max="5888" width="9" style="142" customWidth="1"/>
    <col min="5889" max="5889" width="10" style="142" customWidth="1"/>
    <col min="5890" max="5890" width="11" style="142" customWidth="1"/>
    <col min="5891" max="5893" width="9.140625" style="142" customWidth="1"/>
    <col min="5894" max="5900" width="2.140625" style="142" customWidth="1"/>
    <col min="5901" max="6134" width="9.140625" style="142"/>
    <col min="6135" max="6135" width="4.28515625" style="142" customWidth="1"/>
    <col min="6136" max="6136" width="42" style="142" customWidth="1"/>
    <col min="6137" max="6137" width="6.85546875" style="142" customWidth="1"/>
    <col min="6138" max="6138" width="10.42578125" style="142" bestFit="1" customWidth="1"/>
    <col min="6139" max="6139" width="9.42578125" style="142" customWidth="1"/>
    <col min="6140" max="6140" width="8.85546875" style="142" customWidth="1"/>
    <col min="6141" max="6142" width="8.7109375" style="142" customWidth="1"/>
    <col min="6143" max="6143" width="9.5703125" style="142" customWidth="1"/>
    <col min="6144" max="6144" width="9" style="142" customWidth="1"/>
    <col min="6145" max="6145" width="10" style="142" customWidth="1"/>
    <col min="6146" max="6146" width="11" style="142" customWidth="1"/>
    <col min="6147" max="6149" width="9.140625" style="142" customWidth="1"/>
    <col min="6150" max="6156" width="2.140625" style="142" customWidth="1"/>
    <col min="6157" max="6390" width="9.140625" style="142"/>
    <col min="6391" max="6391" width="4.28515625" style="142" customWidth="1"/>
    <col min="6392" max="6392" width="42" style="142" customWidth="1"/>
    <col min="6393" max="6393" width="6.85546875" style="142" customWidth="1"/>
    <col min="6394" max="6394" width="10.42578125" style="142" bestFit="1" customWidth="1"/>
    <col min="6395" max="6395" width="9.42578125" style="142" customWidth="1"/>
    <col min="6396" max="6396" width="8.85546875" style="142" customWidth="1"/>
    <col min="6397" max="6398" width="8.7109375" style="142" customWidth="1"/>
    <col min="6399" max="6399" width="9.5703125" style="142" customWidth="1"/>
    <col min="6400" max="6400" width="9" style="142" customWidth="1"/>
    <col min="6401" max="6401" width="10" style="142" customWidth="1"/>
    <col min="6402" max="6402" width="11" style="142" customWidth="1"/>
    <col min="6403" max="6405" width="9.140625" style="142" customWidth="1"/>
    <col min="6406" max="6412" width="2.140625" style="142" customWidth="1"/>
    <col min="6413" max="6646" width="9.140625" style="142"/>
    <col min="6647" max="6647" width="4.28515625" style="142" customWidth="1"/>
    <col min="6648" max="6648" width="42" style="142" customWidth="1"/>
    <col min="6649" max="6649" width="6.85546875" style="142" customWidth="1"/>
    <col min="6650" max="6650" width="10.42578125" style="142" bestFit="1" customWidth="1"/>
    <col min="6651" max="6651" width="9.42578125" style="142" customWidth="1"/>
    <col min="6652" max="6652" width="8.85546875" style="142" customWidth="1"/>
    <col min="6653" max="6654" width="8.7109375" style="142" customWidth="1"/>
    <col min="6655" max="6655" width="9.5703125" style="142" customWidth="1"/>
    <col min="6656" max="6656" width="9" style="142" customWidth="1"/>
    <col min="6657" max="6657" width="10" style="142" customWidth="1"/>
    <col min="6658" max="6658" width="11" style="142" customWidth="1"/>
    <col min="6659" max="6661" width="9.140625" style="142" customWidth="1"/>
    <col min="6662" max="6668" width="2.140625" style="142" customWidth="1"/>
    <col min="6669" max="6902" width="9.140625" style="142"/>
    <col min="6903" max="6903" width="4.28515625" style="142" customWidth="1"/>
    <col min="6904" max="6904" width="42" style="142" customWidth="1"/>
    <col min="6905" max="6905" width="6.85546875" style="142" customWidth="1"/>
    <col min="6906" max="6906" width="10.42578125" style="142" bestFit="1" customWidth="1"/>
    <col min="6907" max="6907" width="9.42578125" style="142" customWidth="1"/>
    <col min="6908" max="6908" width="8.85546875" style="142" customWidth="1"/>
    <col min="6909" max="6910" width="8.7109375" style="142" customWidth="1"/>
    <col min="6911" max="6911" width="9.5703125" style="142" customWidth="1"/>
    <col min="6912" max="6912" width="9" style="142" customWidth="1"/>
    <col min="6913" max="6913" width="10" style="142" customWidth="1"/>
    <col min="6914" max="6914" width="11" style="142" customWidth="1"/>
    <col min="6915" max="6917" width="9.140625" style="142" customWidth="1"/>
    <col min="6918" max="6924" width="2.140625" style="142" customWidth="1"/>
    <col min="6925" max="7158" width="9.140625" style="142"/>
    <col min="7159" max="7159" width="4.28515625" style="142" customWidth="1"/>
    <col min="7160" max="7160" width="42" style="142" customWidth="1"/>
    <col min="7161" max="7161" width="6.85546875" style="142" customWidth="1"/>
    <col min="7162" max="7162" width="10.42578125" style="142" bestFit="1" customWidth="1"/>
    <col min="7163" max="7163" width="9.42578125" style="142" customWidth="1"/>
    <col min="7164" max="7164" width="8.85546875" style="142" customWidth="1"/>
    <col min="7165" max="7166" width="8.7109375" style="142" customWidth="1"/>
    <col min="7167" max="7167" width="9.5703125" style="142" customWidth="1"/>
    <col min="7168" max="7168" width="9" style="142" customWidth="1"/>
    <col min="7169" max="7169" width="10" style="142" customWidth="1"/>
    <col min="7170" max="7170" width="11" style="142" customWidth="1"/>
    <col min="7171" max="7173" width="9.140625" style="142" customWidth="1"/>
    <col min="7174" max="7180" width="2.140625" style="142" customWidth="1"/>
    <col min="7181" max="7414" width="9.140625" style="142"/>
    <col min="7415" max="7415" width="4.28515625" style="142" customWidth="1"/>
    <col min="7416" max="7416" width="42" style="142" customWidth="1"/>
    <col min="7417" max="7417" width="6.85546875" style="142" customWidth="1"/>
    <col min="7418" max="7418" width="10.42578125" style="142" bestFit="1" customWidth="1"/>
    <col min="7419" max="7419" width="9.42578125" style="142" customWidth="1"/>
    <col min="7420" max="7420" width="8.85546875" style="142" customWidth="1"/>
    <col min="7421" max="7422" width="8.7109375" style="142" customWidth="1"/>
    <col min="7423" max="7423" width="9.5703125" style="142" customWidth="1"/>
    <col min="7424" max="7424" width="9" style="142" customWidth="1"/>
    <col min="7425" max="7425" width="10" style="142" customWidth="1"/>
    <col min="7426" max="7426" width="11" style="142" customWidth="1"/>
    <col min="7427" max="7429" width="9.140625" style="142" customWidth="1"/>
    <col min="7430" max="7436" width="2.140625" style="142" customWidth="1"/>
    <col min="7437" max="7670" width="9.140625" style="142"/>
    <col min="7671" max="7671" width="4.28515625" style="142" customWidth="1"/>
    <col min="7672" max="7672" width="42" style="142" customWidth="1"/>
    <col min="7673" max="7673" width="6.85546875" style="142" customWidth="1"/>
    <col min="7674" max="7674" width="10.42578125" style="142" bestFit="1" customWidth="1"/>
    <col min="7675" max="7675" width="9.42578125" style="142" customWidth="1"/>
    <col min="7676" max="7676" width="8.85546875" style="142" customWidth="1"/>
    <col min="7677" max="7678" width="8.7109375" style="142" customWidth="1"/>
    <col min="7679" max="7679" width="9.5703125" style="142" customWidth="1"/>
    <col min="7680" max="7680" width="9" style="142" customWidth="1"/>
    <col min="7681" max="7681" width="10" style="142" customWidth="1"/>
    <col min="7682" max="7682" width="11" style="142" customWidth="1"/>
    <col min="7683" max="7685" width="9.140625" style="142" customWidth="1"/>
    <col min="7686" max="7692" width="2.140625" style="142" customWidth="1"/>
    <col min="7693" max="7926" width="9.140625" style="142"/>
    <col min="7927" max="7927" width="4.28515625" style="142" customWidth="1"/>
    <col min="7928" max="7928" width="42" style="142" customWidth="1"/>
    <col min="7929" max="7929" width="6.85546875" style="142" customWidth="1"/>
    <col min="7930" max="7930" width="10.42578125" style="142" bestFit="1" customWidth="1"/>
    <col min="7931" max="7931" width="9.42578125" style="142" customWidth="1"/>
    <col min="7932" max="7932" width="8.85546875" style="142" customWidth="1"/>
    <col min="7933" max="7934" width="8.7109375" style="142" customWidth="1"/>
    <col min="7935" max="7935" width="9.5703125" style="142" customWidth="1"/>
    <col min="7936" max="7936" width="9" style="142" customWidth="1"/>
    <col min="7937" max="7937" width="10" style="142" customWidth="1"/>
    <col min="7938" max="7938" width="11" style="142" customWidth="1"/>
    <col min="7939" max="7941" width="9.140625" style="142" customWidth="1"/>
    <col min="7942" max="7948" width="2.140625" style="142" customWidth="1"/>
    <col min="7949" max="8182" width="9.140625" style="142"/>
    <col min="8183" max="8183" width="4.28515625" style="142" customWidth="1"/>
    <col min="8184" max="8184" width="42" style="142" customWidth="1"/>
    <col min="8185" max="8185" width="6.85546875" style="142" customWidth="1"/>
    <col min="8186" max="8186" width="10.42578125" style="142" bestFit="1" customWidth="1"/>
    <col min="8187" max="8187" width="9.42578125" style="142" customWidth="1"/>
    <col min="8188" max="8188" width="8.85546875" style="142" customWidth="1"/>
    <col min="8189" max="8190" width="8.7109375" style="142" customWidth="1"/>
    <col min="8191" max="8191" width="9.5703125" style="142" customWidth="1"/>
    <col min="8192" max="8192" width="9" style="142" customWidth="1"/>
    <col min="8193" max="8193" width="10" style="142" customWidth="1"/>
    <col min="8194" max="8194" width="11" style="142" customWidth="1"/>
    <col min="8195" max="8197" width="9.140625" style="142" customWidth="1"/>
    <col min="8198" max="8204" width="2.140625" style="142" customWidth="1"/>
    <col min="8205" max="8438" width="9.140625" style="142"/>
    <col min="8439" max="8439" width="4.28515625" style="142" customWidth="1"/>
    <col min="8440" max="8440" width="42" style="142" customWidth="1"/>
    <col min="8441" max="8441" width="6.85546875" style="142" customWidth="1"/>
    <col min="8442" max="8442" width="10.42578125" style="142" bestFit="1" customWidth="1"/>
    <col min="8443" max="8443" width="9.42578125" style="142" customWidth="1"/>
    <col min="8444" max="8444" width="8.85546875" style="142" customWidth="1"/>
    <col min="8445" max="8446" width="8.7109375" style="142" customWidth="1"/>
    <col min="8447" max="8447" width="9.5703125" style="142" customWidth="1"/>
    <col min="8448" max="8448" width="9" style="142" customWidth="1"/>
    <col min="8449" max="8449" width="10" style="142" customWidth="1"/>
    <col min="8450" max="8450" width="11" style="142" customWidth="1"/>
    <col min="8451" max="8453" width="9.140625" style="142" customWidth="1"/>
    <col min="8454" max="8460" width="2.140625" style="142" customWidth="1"/>
    <col min="8461" max="8694" width="9.140625" style="142"/>
    <col min="8695" max="8695" width="4.28515625" style="142" customWidth="1"/>
    <col min="8696" max="8696" width="42" style="142" customWidth="1"/>
    <col min="8697" max="8697" width="6.85546875" style="142" customWidth="1"/>
    <col min="8698" max="8698" width="10.42578125" style="142" bestFit="1" customWidth="1"/>
    <col min="8699" max="8699" width="9.42578125" style="142" customWidth="1"/>
    <col min="8700" max="8700" width="8.85546875" style="142" customWidth="1"/>
    <col min="8701" max="8702" width="8.7109375" style="142" customWidth="1"/>
    <col min="8703" max="8703" width="9.5703125" style="142" customWidth="1"/>
    <col min="8704" max="8704" width="9" style="142" customWidth="1"/>
    <col min="8705" max="8705" width="10" style="142" customWidth="1"/>
    <col min="8706" max="8706" width="11" style="142" customWidth="1"/>
    <col min="8707" max="8709" width="9.140625" style="142" customWidth="1"/>
    <col min="8710" max="8716" width="2.140625" style="142" customWidth="1"/>
    <col min="8717" max="8950" width="9.140625" style="142"/>
    <col min="8951" max="8951" width="4.28515625" style="142" customWidth="1"/>
    <col min="8952" max="8952" width="42" style="142" customWidth="1"/>
    <col min="8953" max="8953" width="6.85546875" style="142" customWidth="1"/>
    <col min="8954" max="8954" width="10.42578125" style="142" bestFit="1" customWidth="1"/>
    <col min="8955" max="8955" width="9.42578125" style="142" customWidth="1"/>
    <col min="8956" max="8956" width="8.85546875" style="142" customWidth="1"/>
    <col min="8957" max="8958" width="8.7109375" style="142" customWidth="1"/>
    <col min="8959" max="8959" width="9.5703125" style="142" customWidth="1"/>
    <col min="8960" max="8960" width="9" style="142" customWidth="1"/>
    <col min="8961" max="8961" width="10" style="142" customWidth="1"/>
    <col min="8962" max="8962" width="11" style="142" customWidth="1"/>
    <col min="8963" max="8965" width="9.140625" style="142" customWidth="1"/>
    <col min="8966" max="8972" width="2.140625" style="142" customWidth="1"/>
    <col min="8973" max="9206" width="9.140625" style="142"/>
    <col min="9207" max="9207" width="4.28515625" style="142" customWidth="1"/>
    <col min="9208" max="9208" width="42" style="142" customWidth="1"/>
    <col min="9209" max="9209" width="6.85546875" style="142" customWidth="1"/>
    <col min="9210" max="9210" width="10.42578125" style="142" bestFit="1" customWidth="1"/>
    <col min="9211" max="9211" width="9.42578125" style="142" customWidth="1"/>
    <col min="9212" max="9212" width="8.85546875" style="142" customWidth="1"/>
    <col min="9213" max="9214" width="8.7109375" style="142" customWidth="1"/>
    <col min="9215" max="9215" width="9.5703125" style="142" customWidth="1"/>
    <col min="9216" max="9216" width="9" style="142" customWidth="1"/>
    <col min="9217" max="9217" width="10" style="142" customWidth="1"/>
    <col min="9218" max="9218" width="11" style="142" customWidth="1"/>
    <col min="9219" max="9221" width="9.140625" style="142" customWidth="1"/>
    <col min="9222" max="9228" width="2.140625" style="142" customWidth="1"/>
    <col min="9229" max="9462" width="9.140625" style="142"/>
    <col min="9463" max="9463" width="4.28515625" style="142" customWidth="1"/>
    <col min="9464" max="9464" width="42" style="142" customWidth="1"/>
    <col min="9465" max="9465" width="6.85546875" style="142" customWidth="1"/>
    <col min="9466" max="9466" width="10.42578125" style="142" bestFit="1" customWidth="1"/>
    <col min="9467" max="9467" width="9.42578125" style="142" customWidth="1"/>
    <col min="9468" max="9468" width="8.85546875" style="142" customWidth="1"/>
    <col min="9469" max="9470" width="8.7109375" style="142" customWidth="1"/>
    <col min="9471" max="9471" width="9.5703125" style="142" customWidth="1"/>
    <col min="9472" max="9472" width="9" style="142" customWidth="1"/>
    <col min="9473" max="9473" width="10" style="142" customWidth="1"/>
    <col min="9474" max="9474" width="11" style="142" customWidth="1"/>
    <col min="9475" max="9477" width="9.140625" style="142" customWidth="1"/>
    <col min="9478" max="9484" width="2.140625" style="142" customWidth="1"/>
    <col min="9485" max="9718" width="9.140625" style="142"/>
    <col min="9719" max="9719" width="4.28515625" style="142" customWidth="1"/>
    <col min="9720" max="9720" width="42" style="142" customWidth="1"/>
    <col min="9721" max="9721" width="6.85546875" style="142" customWidth="1"/>
    <col min="9722" max="9722" width="10.42578125" style="142" bestFit="1" customWidth="1"/>
    <col min="9723" max="9723" width="9.42578125" style="142" customWidth="1"/>
    <col min="9724" max="9724" width="8.85546875" style="142" customWidth="1"/>
    <col min="9725" max="9726" width="8.7109375" style="142" customWidth="1"/>
    <col min="9727" max="9727" width="9.5703125" style="142" customWidth="1"/>
    <col min="9728" max="9728" width="9" style="142" customWidth="1"/>
    <col min="9729" max="9729" width="10" style="142" customWidth="1"/>
    <col min="9730" max="9730" width="11" style="142" customWidth="1"/>
    <col min="9731" max="9733" width="9.140625" style="142" customWidth="1"/>
    <col min="9734" max="9740" width="2.140625" style="142" customWidth="1"/>
    <col min="9741" max="9974" width="9.140625" style="142"/>
    <col min="9975" max="9975" width="4.28515625" style="142" customWidth="1"/>
    <col min="9976" max="9976" width="42" style="142" customWidth="1"/>
    <col min="9977" max="9977" width="6.85546875" style="142" customWidth="1"/>
    <col min="9978" max="9978" width="10.42578125" style="142" bestFit="1" customWidth="1"/>
    <col min="9979" max="9979" width="9.42578125" style="142" customWidth="1"/>
    <col min="9980" max="9980" width="8.85546875" style="142" customWidth="1"/>
    <col min="9981" max="9982" width="8.7109375" style="142" customWidth="1"/>
    <col min="9983" max="9983" width="9.5703125" style="142" customWidth="1"/>
    <col min="9984" max="9984" width="9" style="142" customWidth="1"/>
    <col min="9985" max="9985" width="10" style="142" customWidth="1"/>
    <col min="9986" max="9986" width="11" style="142" customWidth="1"/>
    <col min="9987" max="9989" width="9.140625" style="142" customWidth="1"/>
    <col min="9990" max="9996" width="2.140625" style="142" customWidth="1"/>
    <col min="9997" max="10230" width="9.140625" style="142"/>
    <col min="10231" max="10231" width="4.28515625" style="142" customWidth="1"/>
    <col min="10232" max="10232" width="42" style="142" customWidth="1"/>
    <col min="10233" max="10233" width="6.85546875" style="142" customWidth="1"/>
    <col min="10234" max="10234" width="10.42578125" style="142" bestFit="1" customWidth="1"/>
    <col min="10235" max="10235" width="9.42578125" style="142" customWidth="1"/>
    <col min="10236" max="10236" width="8.85546875" style="142" customWidth="1"/>
    <col min="10237" max="10238" width="8.7109375" style="142" customWidth="1"/>
    <col min="10239" max="10239" width="9.5703125" style="142" customWidth="1"/>
    <col min="10240" max="10240" width="9" style="142" customWidth="1"/>
    <col min="10241" max="10241" width="10" style="142" customWidth="1"/>
    <col min="10242" max="10242" width="11" style="142" customWidth="1"/>
    <col min="10243" max="10245" width="9.140625" style="142" customWidth="1"/>
    <col min="10246" max="10252" width="2.140625" style="142" customWidth="1"/>
    <col min="10253" max="10486" width="9.140625" style="142"/>
    <col min="10487" max="10487" width="4.28515625" style="142" customWidth="1"/>
    <col min="10488" max="10488" width="42" style="142" customWidth="1"/>
    <col min="10489" max="10489" width="6.85546875" style="142" customWidth="1"/>
    <col min="10490" max="10490" width="10.42578125" style="142" bestFit="1" customWidth="1"/>
    <col min="10491" max="10491" width="9.42578125" style="142" customWidth="1"/>
    <col min="10492" max="10492" width="8.85546875" style="142" customWidth="1"/>
    <col min="10493" max="10494" width="8.7109375" style="142" customWidth="1"/>
    <col min="10495" max="10495" width="9.5703125" style="142" customWidth="1"/>
    <col min="10496" max="10496" width="9" style="142" customWidth="1"/>
    <col min="10497" max="10497" width="10" style="142" customWidth="1"/>
    <col min="10498" max="10498" width="11" style="142" customWidth="1"/>
    <col min="10499" max="10501" width="9.140625" style="142" customWidth="1"/>
    <col min="10502" max="10508" width="2.140625" style="142" customWidth="1"/>
    <col min="10509" max="10742" width="9.140625" style="142"/>
    <col min="10743" max="10743" width="4.28515625" style="142" customWidth="1"/>
    <col min="10744" max="10744" width="42" style="142" customWidth="1"/>
    <col min="10745" max="10745" width="6.85546875" style="142" customWidth="1"/>
    <col min="10746" max="10746" width="10.42578125" style="142" bestFit="1" customWidth="1"/>
    <col min="10747" max="10747" width="9.42578125" style="142" customWidth="1"/>
    <col min="10748" max="10748" width="8.85546875" style="142" customWidth="1"/>
    <col min="10749" max="10750" width="8.7109375" style="142" customWidth="1"/>
    <col min="10751" max="10751" width="9.5703125" style="142" customWidth="1"/>
    <col min="10752" max="10752" width="9" style="142" customWidth="1"/>
    <col min="10753" max="10753" width="10" style="142" customWidth="1"/>
    <col min="10754" max="10754" width="11" style="142" customWidth="1"/>
    <col min="10755" max="10757" width="9.140625" style="142" customWidth="1"/>
    <col min="10758" max="10764" width="2.140625" style="142" customWidth="1"/>
    <col min="10765" max="10998" width="9.140625" style="142"/>
    <col min="10999" max="10999" width="4.28515625" style="142" customWidth="1"/>
    <col min="11000" max="11000" width="42" style="142" customWidth="1"/>
    <col min="11001" max="11001" width="6.85546875" style="142" customWidth="1"/>
    <col min="11002" max="11002" width="10.42578125" style="142" bestFit="1" customWidth="1"/>
    <col min="11003" max="11003" width="9.42578125" style="142" customWidth="1"/>
    <col min="11004" max="11004" width="8.85546875" style="142" customWidth="1"/>
    <col min="11005" max="11006" width="8.7109375" style="142" customWidth="1"/>
    <col min="11007" max="11007" width="9.5703125" style="142" customWidth="1"/>
    <col min="11008" max="11008" width="9" style="142" customWidth="1"/>
    <col min="11009" max="11009" width="10" style="142" customWidth="1"/>
    <col min="11010" max="11010" width="11" style="142" customWidth="1"/>
    <col min="11011" max="11013" width="9.140625" style="142" customWidth="1"/>
    <col min="11014" max="11020" width="2.140625" style="142" customWidth="1"/>
    <col min="11021" max="11254" width="9.140625" style="142"/>
    <col min="11255" max="11255" width="4.28515625" style="142" customWidth="1"/>
    <col min="11256" max="11256" width="42" style="142" customWidth="1"/>
    <col min="11257" max="11257" width="6.85546875" style="142" customWidth="1"/>
    <col min="11258" max="11258" width="10.42578125" style="142" bestFit="1" customWidth="1"/>
    <col min="11259" max="11259" width="9.42578125" style="142" customWidth="1"/>
    <col min="11260" max="11260" width="8.85546875" style="142" customWidth="1"/>
    <col min="11261" max="11262" width="8.7109375" style="142" customWidth="1"/>
    <col min="11263" max="11263" width="9.5703125" style="142" customWidth="1"/>
    <col min="11264" max="11264" width="9" style="142" customWidth="1"/>
    <col min="11265" max="11265" width="10" style="142" customWidth="1"/>
    <col min="11266" max="11266" width="11" style="142" customWidth="1"/>
    <col min="11267" max="11269" width="9.140625" style="142" customWidth="1"/>
    <col min="11270" max="11276" width="2.140625" style="142" customWidth="1"/>
    <col min="11277" max="11510" width="9.140625" style="142"/>
    <col min="11511" max="11511" width="4.28515625" style="142" customWidth="1"/>
    <col min="11512" max="11512" width="42" style="142" customWidth="1"/>
    <col min="11513" max="11513" width="6.85546875" style="142" customWidth="1"/>
    <col min="11514" max="11514" width="10.42578125" style="142" bestFit="1" customWidth="1"/>
    <col min="11515" max="11515" width="9.42578125" style="142" customWidth="1"/>
    <col min="11516" max="11516" width="8.85546875" style="142" customWidth="1"/>
    <col min="11517" max="11518" width="8.7109375" style="142" customWidth="1"/>
    <col min="11519" max="11519" width="9.5703125" style="142" customWidth="1"/>
    <col min="11520" max="11520" width="9" style="142" customWidth="1"/>
    <col min="11521" max="11521" width="10" style="142" customWidth="1"/>
    <col min="11522" max="11522" width="11" style="142" customWidth="1"/>
    <col min="11523" max="11525" width="9.140625" style="142" customWidth="1"/>
    <col min="11526" max="11532" width="2.140625" style="142" customWidth="1"/>
    <col min="11533" max="11766" width="9.140625" style="142"/>
    <col min="11767" max="11767" width="4.28515625" style="142" customWidth="1"/>
    <col min="11768" max="11768" width="42" style="142" customWidth="1"/>
    <col min="11769" max="11769" width="6.85546875" style="142" customWidth="1"/>
    <col min="11770" max="11770" width="10.42578125" style="142" bestFit="1" customWidth="1"/>
    <col min="11771" max="11771" width="9.42578125" style="142" customWidth="1"/>
    <col min="11772" max="11772" width="8.85546875" style="142" customWidth="1"/>
    <col min="11773" max="11774" width="8.7109375" style="142" customWidth="1"/>
    <col min="11775" max="11775" width="9.5703125" style="142" customWidth="1"/>
    <col min="11776" max="11776" width="9" style="142" customWidth="1"/>
    <col min="11777" max="11777" width="10" style="142" customWidth="1"/>
    <col min="11778" max="11778" width="11" style="142" customWidth="1"/>
    <col min="11779" max="11781" width="9.140625" style="142" customWidth="1"/>
    <col min="11782" max="11788" width="2.140625" style="142" customWidth="1"/>
    <col min="11789" max="12022" width="9.140625" style="142"/>
    <col min="12023" max="12023" width="4.28515625" style="142" customWidth="1"/>
    <col min="12024" max="12024" width="42" style="142" customWidth="1"/>
    <col min="12025" max="12025" width="6.85546875" style="142" customWidth="1"/>
    <col min="12026" max="12026" width="10.42578125" style="142" bestFit="1" customWidth="1"/>
    <col min="12027" max="12027" width="9.42578125" style="142" customWidth="1"/>
    <col min="12028" max="12028" width="8.85546875" style="142" customWidth="1"/>
    <col min="12029" max="12030" width="8.7109375" style="142" customWidth="1"/>
    <col min="12031" max="12031" width="9.5703125" style="142" customWidth="1"/>
    <col min="12032" max="12032" width="9" style="142" customWidth="1"/>
    <col min="12033" max="12033" width="10" style="142" customWidth="1"/>
    <col min="12034" max="12034" width="11" style="142" customWidth="1"/>
    <col min="12035" max="12037" width="9.140625" style="142" customWidth="1"/>
    <col min="12038" max="12044" width="2.140625" style="142" customWidth="1"/>
    <col min="12045" max="12278" width="9.140625" style="142"/>
    <col min="12279" max="12279" width="4.28515625" style="142" customWidth="1"/>
    <col min="12280" max="12280" width="42" style="142" customWidth="1"/>
    <col min="12281" max="12281" width="6.85546875" style="142" customWidth="1"/>
    <col min="12282" max="12282" width="10.42578125" style="142" bestFit="1" customWidth="1"/>
    <col min="12283" max="12283" width="9.42578125" style="142" customWidth="1"/>
    <col min="12284" max="12284" width="8.85546875" style="142" customWidth="1"/>
    <col min="12285" max="12286" width="8.7109375" style="142" customWidth="1"/>
    <col min="12287" max="12287" width="9.5703125" style="142" customWidth="1"/>
    <col min="12288" max="12288" width="9" style="142" customWidth="1"/>
    <col min="12289" max="12289" width="10" style="142" customWidth="1"/>
    <col min="12290" max="12290" width="11" style="142" customWidth="1"/>
    <col min="12291" max="12293" width="9.140625" style="142" customWidth="1"/>
    <col min="12294" max="12300" width="2.140625" style="142" customWidth="1"/>
    <col min="12301" max="12534" width="9.140625" style="142"/>
    <col min="12535" max="12535" width="4.28515625" style="142" customWidth="1"/>
    <col min="12536" max="12536" width="42" style="142" customWidth="1"/>
    <col min="12537" max="12537" width="6.85546875" style="142" customWidth="1"/>
    <col min="12538" max="12538" width="10.42578125" style="142" bestFit="1" customWidth="1"/>
    <col min="12539" max="12539" width="9.42578125" style="142" customWidth="1"/>
    <col min="12540" max="12540" width="8.85546875" style="142" customWidth="1"/>
    <col min="12541" max="12542" width="8.7109375" style="142" customWidth="1"/>
    <col min="12543" max="12543" width="9.5703125" style="142" customWidth="1"/>
    <col min="12544" max="12544" width="9" style="142" customWidth="1"/>
    <col min="12545" max="12545" width="10" style="142" customWidth="1"/>
    <col min="12546" max="12546" width="11" style="142" customWidth="1"/>
    <col min="12547" max="12549" width="9.140625" style="142" customWidth="1"/>
    <col min="12550" max="12556" width="2.140625" style="142" customWidth="1"/>
    <col min="12557" max="12790" width="9.140625" style="142"/>
    <col min="12791" max="12791" width="4.28515625" style="142" customWidth="1"/>
    <col min="12792" max="12792" width="42" style="142" customWidth="1"/>
    <col min="12793" max="12793" width="6.85546875" style="142" customWidth="1"/>
    <col min="12794" max="12794" width="10.42578125" style="142" bestFit="1" customWidth="1"/>
    <col min="12795" max="12795" width="9.42578125" style="142" customWidth="1"/>
    <col min="12796" max="12796" width="8.85546875" style="142" customWidth="1"/>
    <col min="12797" max="12798" width="8.7109375" style="142" customWidth="1"/>
    <col min="12799" max="12799" width="9.5703125" style="142" customWidth="1"/>
    <col min="12800" max="12800" width="9" style="142" customWidth="1"/>
    <col min="12801" max="12801" width="10" style="142" customWidth="1"/>
    <col min="12802" max="12802" width="11" style="142" customWidth="1"/>
    <col min="12803" max="12805" width="9.140625" style="142" customWidth="1"/>
    <col min="12806" max="12812" width="2.140625" style="142" customWidth="1"/>
    <col min="12813" max="13046" width="9.140625" style="142"/>
    <col min="13047" max="13047" width="4.28515625" style="142" customWidth="1"/>
    <col min="13048" max="13048" width="42" style="142" customWidth="1"/>
    <col min="13049" max="13049" width="6.85546875" style="142" customWidth="1"/>
    <col min="13050" max="13050" width="10.42578125" style="142" bestFit="1" customWidth="1"/>
    <col min="13051" max="13051" width="9.42578125" style="142" customWidth="1"/>
    <col min="13052" max="13052" width="8.85546875" style="142" customWidth="1"/>
    <col min="13053" max="13054" width="8.7109375" style="142" customWidth="1"/>
    <col min="13055" max="13055" width="9.5703125" style="142" customWidth="1"/>
    <col min="13056" max="13056" width="9" style="142" customWidth="1"/>
    <col min="13057" max="13057" width="10" style="142" customWidth="1"/>
    <col min="13058" max="13058" width="11" style="142" customWidth="1"/>
    <col min="13059" max="13061" width="9.140625" style="142" customWidth="1"/>
    <col min="13062" max="13068" width="2.140625" style="142" customWidth="1"/>
    <col min="13069" max="13302" width="9.140625" style="142"/>
    <col min="13303" max="13303" width="4.28515625" style="142" customWidth="1"/>
    <col min="13304" max="13304" width="42" style="142" customWidth="1"/>
    <col min="13305" max="13305" width="6.85546875" style="142" customWidth="1"/>
    <col min="13306" max="13306" width="10.42578125" style="142" bestFit="1" customWidth="1"/>
    <col min="13307" max="13307" width="9.42578125" style="142" customWidth="1"/>
    <col min="13308" max="13308" width="8.85546875" style="142" customWidth="1"/>
    <col min="13309" max="13310" width="8.7109375" style="142" customWidth="1"/>
    <col min="13311" max="13311" width="9.5703125" style="142" customWidth="1"/>
    <col min="13312" max="13312" width="9" style="142" customWidth="1"/>
    <col min="13313" max="13313" width="10" style="142" customWidth="1"/>
    <col min="13314" max="13314" width="11" style="142" customWidth="1"/>
    <col min="13315" max="13317" width="9.140625" style="142" customWidth="1"/>
    <col min="13318" max="13324" width="2.140625" style="142" customWidth="1"/>
    <col min="13325" max="13558" width="9.140625" style="142"/>
    <col min="13559" max="13559" width="4.28515625" style="142" customWidth="1"/>
    <col min="13560" max="13560" width="42" style="142" customWidth="1"/>
    <col min="13561" max="13561" width="6.85546875" style="142" customWidth="1"/>
    <col min="13562" max="13562" width="10.42578125" style="142" bestFit="1" customWidth="1"/>
    <col min="13563" max="13563" width="9.42578125" style="142" customWidth="1"/>
    <col min="13564" max="13564" width="8.85546875" style="142" customWidth="1"/>
    <col min="13565" max="13566" width="8.7109375" style="142" customWidth="1"/>
    <col min="13567" max="13567" width="9.5703125" style="142" customWidth="1"/>
    <col min="13568" max="13568" width="9" style="142" customWidth="1"/>
    <col min="13569" max="13569" width="10" style="142" customWidth="1"/>
    <col min="13570" max="13570" width="11" style="142" customWidth="1"/>
    <col min="13571" max="13573" width="9.140625" style="142" customWidth="1"/>
    <col min="13574" max="13580" width="2.140625" style="142" customWidth="1"/>
    <col min="13581" max="13814" width="9.140625" style="142"/>
    <col min="13815" max="13815" width="4.28515625" style="142" customWidth="1"/>
    <col min="13816" max="13816" width="42" style="142" customWidth="1"/>
    <col min="13817" max="13817" width="6.85546875" style="142" customWidth="1"/>
    <col min="13818" max="13818" width="10.42578125" style="142" bestFit="1" customWidth="1"/>
    <col min="13819" max="13819" width="9.42578125" style="142" customWidth="1"/>
    <col min="13820" max="13820" width="8.85546875" style="142" customWidth="1"/>
    <col min="13821" max="13822" width="8.7109375" style="142" customWidth="1"/>
    <col min="13823" max="13823" width="9.5703125" style="142" customWidth="1"/>
    <col min="13824" max="13824" width="9" style="142" customWidth="1"/>
    <col min="13825" max="13825" width="10" style="142" customWidth="1"/>
    <col min="13826" max="13826" width="11" style="142" customWidth="1"/>
    <col min="13827" max="13829" width="9.140625" style="142" customWidth="1"/>
    <col min="13830" max="13836" width="2.140625" style="142" customWidth="1"/>
    <col min="13837" max="14070" width="9.140625" style="142"/>
    <col min="14071" max="14071" width="4.28515625" style="142" customWidth="1"/>
    <col min="14072" max="14072" width="42" style="142" customWidth="1"/>
    <col min="14073" max="14073" width="6.85546875" style="142" customWidth="1"/>
    <col min="14074" max="14074" width="10.42578125" style="142" bestFit="1" customWidth="1"/>
    <col min="14075" max="14075" width="9.42578125" style="142" customWidth="1"/>
    <col min="14076" max="14076" width="8.85546875" style="142" customWidth="1"/>
    <col min="14077" max="14078" width="8.7109375" style="142" customWidth="1"/>
    <col min="14079" max="14079" width="9.5703125" style="142" customWidth="1"/>
    <col min="14080" max="14080" width="9" style="142" customWidth="1"/>
    <col min="14081" max="14081" width="10" style="142" customWidth="1"/>
    <col min="14082" max="14082" width="11" style="142" customWidth="1"/>
    <col min="14083" max="14085" width="9.140625" style="142" customWidth="1"/>
    <col min="14086" max="14092" width="2.140625" style="142" customWidth="1"/>
    <col min="14093" max="14326" width="9.140625" style="142"/>
    <col min="14327" max="14327" width="4.28515625" style="142" customWidth="1"/>
    <col min="14328" max="14328" width="42" style="142" customWidth="1"/>
    <col min="14329" max="14329" width="6.85546875" style="142" customWidth="1"/>
    <col min="14330" max="14330" width="10.42578125" style="142" bestFit="1" customWidth="1"/>
    <col min="14331" max="14331" width="9.42578125" style="142" customWidth="1"/>
    <col min="14332" max="14332" width="8.85546875" style="142" customWidth="1"/>
    <col min="14333" max="14334" width="8.7109375" style="142" customWidth="1"/>
    <col min="14335" max="14335" width="9.5703125" style="142" customWidth="1"/>
    <col min="14336" max="14336" width="9" style="142" customWidth="1"/>
    <col min="14337" max="14337" width="10" style="142" customWidth="1"/>
    <col min="14338" max="14338" width="11" style="142" customWidth="1"/>
    <col min="14339" max="14341" width="9.140625" style="142" customWidth="1"/>
    <col min="14342" max="14348" width="2.140625" style="142" customWidth="1"/>
    <col min="14349" max="14582" width="9.140625" style="142"/>
    <col min="14583" max="14583" width="4.28515625" style="142" customWidth="1"/>
    <col min="14584" max="14584" width="42" style="142" customWidth="1"/>
    <col min="14585" max="14585" width="6.85546875" style="142" customWidth="1"/>
    <col min="14586" max="14586" width="10.42578125" style="142" bestFit="1" customWidth="1"/>
    <col min="14587" max="14587" width="9.42578125" style="142" customWidth="1"/>
    <col min="14588" max="14588" width="8.85546875" style="142" customWidth="1"/>
    <col min="14589" max="14590" width="8.7109375" style="142" customWidth="1"/>
    <col min="14591" max="14591" width="9.5703125" style="142" customWidth="1"/>
    <col min="14592" max="14592" width="9" style="142" customWidth="1"/>
    <col min="14593" max="14593" width="10" style="142" customWidth="1"/>
    <col min="14594" max="14594" width="11" style="142" customWidth="1"/>
    <col min="14595" max="14597" width="9.140625" style="142" customWidth="1"/>
    <col min="14598" max="14604" width="2.140625" style="142" customWidth="1"/>
    <col min="14605" max="14838" width="9.140625" style="142"/>
    <col min="14839" max="14839" width="4.28515625" style="142" customWidth="1"/>
    <col min="14840" max="14840" width="42" style="142" customWidth="1"/>
    <col min="14841" max="14841" width="6.85546875" style="142" customWidth="1"/>
    <col min="14842" max="14842" width="10.42578125" style="142" bestFit="1" customWidth="1"/>
    <col min="14843" max="14843" width="9.42578125" style="142" customWidth="1"/>
    <col min="14844" max="14844" width="8.85546875" style="142" customWidth="1"/>
    <col min="14845" max="14846" width="8.7109375" style="142" customWidth="1"/>
    <col min="14847" max="14847" width="9.5703125" style="142" customWidth="1"/>
    <col min="14848" max="14848" width="9" style="142" customWidth="1"/>
    <col min="14849" max="14849" width="10" style="142" customWidth="1"/>
    <col min="14850" max="14850" width="11" style="142" customWidth="1"/>
    <col min="14851" max="14853" width="9.140625" style="142" customWidth="1"/>
    <col min="14854" max="14860" width="2.140625" style="142" customWidth="1"/>
    <col min="14861" max="15094" width="9.140625" style="142"/>
    <col min="15095" max="15095" width="4.28515625" style="142" customWidth="1"/>
    <col min="15096" max="15096" width="42" style="142" customWidth="1"/>
    <col min="15097" max="15097" width="6.85546875" style="142" customWidth="1"/>
    <col min="15098" max="15098" width="10.42578125" style="142" bestFit="1" customWidth="1"/>
    <col min="15099" max="15099" width="9.42578125" style="142" customWidth="1"/>
    <col min="15100" max="15100" width="8.85546875" style="142" customWidth="1"/>
    <col min="15101" max="15102" width="8.7109375" style="142" customWidth="1"/>
    <col min="15103" max="15103" width="9.5703125" style="142" customWidth="1"/>
    <col min="15104" max="15104" width="9" style="142" customWidth="1"/>
    <col min="15105" max="15105" width="10" style="142" customWidth="1"/>
    <col min="15106" max="15106" width="11" style="142" customWidth="1"/>
    <col min="15107" max="15109" width="9.140625" style="142" customWidth="1"/>
    <col min="15110" max="15116" width="2.140625" style="142" customWidth="1"/>
    <col min="15117" max="15350" width="9.140625" style="142"/>
    <col min="15351" max="15351" width="4.28515625" style="142" customWidth="1"/>
    <col min="15352" max="15352" width="42" style="142" customWidth="1"/>
    <col min="15353" max="15353" width="6.85546875" style="142" customWidth="1"/>
    <col min="15354" max="15354" width="10.42578125" style="142" bestFit="1" customWidth="1"/>
    <col min="15355" max="15355" width="9.42578125" style="142" customWidth="1"/>
    <col min="15356" max="15356" width="8.85546875" style="142" customWidth="1"/>
    <col min="15357" max="15358" width="8.7109375" style="142" customWidth="1"/>
    <col min="15359" max="15359" width="9.5703125" style="142" customWidth="1"/>
    <col min="15360" max="15360" width="9" style="142" customWidth="1"/>
    <col min="15361" max="15361" width="10" style="142" customWidth="1"/>
    <col min="15362" max="15362" width="11" style="142" customWidth="1"/>
    <col min="15363" max="15365" width="9.140625" style="142" customWidth="1"/>
    <col min="15366" max="15372" width="2.140625" style="142" customWidth="1"/>
    <col min="15373" max="15606" width="9.140625" style="142"/>
    <col min="15607" max="15607" width="4.28515625" style="142" customWidth="1"/>
    <col min="15608" max="15608" width="42" style="142" customWidth="1"/>
    <col min="15609" max="15609" width="6.85546875" style="142" customWidth="1"/>
    <col min="15610" max="15610" width="10.42578125" style="142" bestFit="1" customWidth="1"/>
    <col min="15611" max="15611" width="9.42578125" style="142" customWidth="1"/>
    <col min="15612" max="15612" width="8.85546875" style="142" customWidth="1"/>
    <col min="15613" max="15614" width="8.7109375" style="142" customWidth="1"/>
    <col min="15615" max="15615" width="9.5703125" style="142" customWidth="1"/>
    <col min="15616" max="15616" width="9" style="142" customWidth="1"/>
    <col min="15617" max="15617" width="10" style="142" customWidth="1"/>
    <col min="15618" max="15618" width="11" style="142" customWidth="1"/>
    <col min="15619" max="15621" width="9.140625" style="142" customWidth="1"/>
    <col min="15622" max="15628" width="2.140625" style="142" customWidth="1"/>
    <col min="15629" max="15862" width="9.140625" style="142"/>
    <col min="15863" max="15863" width="4.28515625" style="142" customWidth="1"/>
    <col min="15864" max="15864" width="42" style="142" customWidth="1"/>
    <col min="15865" max="15865" width="6.85546875" style="142" customWidth="1"/>
    <col min="15866" max="15866" width="10.42578125" style="142" bestFit="1" customWidth="1"/>
    <col min="15867" max="15867" width="9.42578125" style="142" customWidth="1"/>
    <col min="15868" max="15868" width="8.85546875" style="142" customWidth="1"/>
    <col min="15869" max="15870" width="8.7109375" style="142" customWidth="1"/>
    <col min="15871" max="15871" width="9.5703125" style="142" customWidth="1"/>
    <col min="15872" max="15872" width="9" style="142" customWidth="1"/>
    <col min="15873" max="15873" width="10" style="142" customWidth="1"/>
    <col min="15874" max="15874" width="11" style="142" customWidth="1"/>
    <col min="15875" max="15877" width="9.140625" style="142" customWidth="1"/>
    <col min="15878" max="15884" width="2.140625" style="142" customWidth="1"/>
    <col min="15885" max="16118" width="9.140625" style="142"/>
    <col min="16119" max="16119" width="4.28515625" style="142" customWidth="1"/>
    <col min="16120" max="16120" width="42" style="142" customWidth="1"/>
    <col min="16121" max="16121" width="6.85546875" style="142" customWidth="1"/>
    <col min="16122" max="16122" width="10.42578125" style="142" bestFit="1" customWidth="1"/>
    <col min="16123" max="16123" width="9.42578125" style="142" customWidth="1"/>
    <col min="16124" max="16124" width="8.85546875" style="142" customWidth="1"/>
    <col min="16125" max="16126" width="8.7109375" style="142" customWidth="1"/>
    <col min="16127" max="16127" width="9.5703125" style="142" customWidth="1"/>
    <col min="16128" max="16128" width="9" style="142" customWidth="1"/>
    <col min="16129" max="16129" width="10" style="142" customWidth="1"/>
    <col min="16130" max="16130" width="11" style="142" customWidth="1"/>
    <col min="16131" max="16133" width="9.140625" style="142" customWidth="1"/>
    <col min="16134" max="16140" width="2.140625" style="142" customWidth="1"/>
    <col min="16141" max="16384" width="9.140625" style="142"/>
  </cols>
  <sheetData>
    <row r="1" spans="1:27">
      <c r="A1" s="396" t="s">
        <v>90</v>
      </c>
      <c r="B1" s="396"/>
      <c r="C1" s="396"/>
      <c r="D1" s="396"/>
      <c r="E1" s="396"/>
      <c r="F1" s="396"/>
      <c r="G1" s="396"/>
      <c r="H1" s="396"/>
      <c r="I1" s="396"/>
      <c r="J1" s="396"/>
      <c r="K1" s="396"/>
      <c r="L1" s="396"/>
      <c r="M1" s="396"/>
      <c r="N1" s="396"/>
      <c r="O1" s="396"/>
    </row>
    <row r="2" spans="1:27">
      <c r="A2" s="397" t="str">
        <f>Kopsavilkums!C23</f>
        <v>Logi, vārti un durvis</v>
      </c>
      <c r="B2" s="397"/>
      <c r="C2" s="397"/>
      <c r="D2" s="397"/>
      <c r="E2" s="397"/>
      <c r="F2" s="397"/>
      <c r="G2" s="397"/>
      <c r="H2" s="397"/>
      <c r="I2" s="397"/>
      <c r="J2" s="397"/>
      <c r="K2" s="397"/>
      <c r="L2" s="397"/>
      <c r="M2" s="397"/>
      <c r="N2" s="397"/>
      <c r="O2" s="397"/>
    </row>
    <row r="3" spans="1:27">
      <c r="A3" s="115" t="s">
        <v>1246</v>
      </c>
    </row>
    <row r="4" spans="1:27">
      <c r="A4" s="115" t="s">
        <v>307</v>
      </c>
    </row>
    <row r="5" spans="1:27">
      <c r="A5" s="115" t="s">
        <v>306</v>
      </c>
    </row>
    <row r="6" spans="1:27" s="117" customFormat="1" ht="13.5" thickBot="1">
      <c r="E6" s="133"/>
      <c r="F6" s="133"/>
      <c r="G6" s="133"/>
      <c r="H6" s="133"/>
      <c r="I6" s="133"/>
      <c r="J6" s="398" t="s">
        <v>13</v>
      </c>
      <c r="K6" s="398"/>
      <c r="L6" s="398"/>
      <c r="M6" s="398"/>
      <c r="N6" s="404" t="e">
        <f>#REF!</f>
        <v>#REF!</v>
      </c>
      <c r="O6" s="404"/>
    </row>
    <row r="7" spans="1:27" s="133" customFormat="1" ht="12.75" customHeight="1">
      <c r="A7" s="378" t="s">
        <v>27</v>
      </c>
      <c r="B7" s="381" t="s">
        <v>28</v>
      </c>
      <c r="C7" s="381" t="s">
        <v>17</v>
      </c>
      <c r="D7" s="381" t="s">
        <v>19</v>
      </c>
      <c r="E7" s="390" t="s">
        <v>15</v>
      </c>
      <c r="F7" s="391"/>
      <c r="G7" s="391"/>
      <c r="H7" s="391"/>
      <c r="I7" s="391"/>
      <c r="J7" s="392"/>
      <c r="K7" s="390" t="s">
        <v>16</v>
      </c>
      <c r="L7" s="391"/>
      <c r="M7" s="391"/>
      <c r="N7" s="391"/>
      <c r="O7" s="393"/>
    </row>
    <row r="8" spans="1:27"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27" s="133" customFormat="1" ht="12.75">
      <c r="A9" s="379"/>
      <c r="B9" s="382"/>
      <c r="C9" s="382"/>
      <c r="D9" s="382"/>
      <c r="E9" s="394"/>
      <c r="F9" s="376"/>
      <c r="G9" s="376"/>
      <c r="H9" s="376"/>
      <c r="I9" s="376"/>
      <c r="J9" s="373"/>
      <c r="K9" s="376"/>
      <c r="L9" s="376"/>
      <c r="M9" s="376"/>
      <c r="N9" s="376"/>
      <c r="O9" s="385"/>
    </row>
    <row r="10" spans="1:27" s="133" customFormat="1" ht="13.5" thickBot="1">
      <c r="A10" s="380"/>
      <c r="B10" s="383"/>
      <c r="C10" s="383"/>
      <c r="D10" s="383"/>
      <c r="E10" s="395"/>
      <c r="F10" s="377"/>
      <c r="G10" s="377"/>
      <c r="H10" s="377"/>
      <c r="I10" s="377"/>
      <c r="J10" s="374"/>
      <c r="K10" s="377"/>
      <c r="L10" s="377"/>
      <c r="M10" s="377"/>
      <c r="N10" s="377"/>
      <c r="O10" s="386"/>
    </row>
    <row r="11" spans="1:27" s="133" customFormat="1" thickTop="1" thickBot="1">
      <c r="A11" s="52">
        <v>1</v>
      </c>
      <c r="B11" s="53">
        <v>2</v>
      </c>
      <c r="C11" s="53">
        <v>3</v>
      </c>
      <c r="D11" s="53">
        <v>4</v>
      </c>
      <c r="E11" s="53">
        <v>5</v>
      </c>
      <c r="F11" s="53">
        <v>6</v>
      </c>
      <c r="G11" s="53">
        <v>7</v>
      </c>
      <c r="H11" s="53">
        <v>8</v>
      </c>
      <c r="I11" s="53">
        <v>9</v>
      </c>
      <c r="J11" s="54">
        <v>10</v>
      </c>
      <c r="K11" s="53">
        <v>11</v>
      </c>
      <c r="L11" s="54">
        <v>12</v>
      </c>
      <c r="M11" s="53">
        <v>13</v>
      </c>
      <c r="N11" s="54">
        <v>14</v>
      </c>
      <c r="O11" s="55">
        <v>15</v>
      </c>
    </row>
    <row r="12" spans="1:27" s="197" customFormat="1" ht="13.5" thickTop="1">
      <c r="A12" s="106">
        <v>1</v>
      </c>
      <c r="B12" s="225" t="s">
        <v>1484</v>
      </c>
      <c r="C12" s="128" t="s">
        <v>14</v>
      </c>
      <c r="D12" s="1">
        <f>8*2.08*0.97</f>
        <v>16.140799999999999</v>
      </c>
      <c r="E12" s="33"/>
      <c r="F12" s="33"/>
      <c r="G12" s="4"/>
      <c r="H12" s="4"/>
      <c r="I12" s="4"/>
      <c r="J12" s="337"/>
      <c r="K12" s="338"/>
      <c r="L12" s="338"/>
      <c r="M12" s="338"/>
      <c r="N12" s="338"/>
      <c r="O12" s="339"/>
      <c r="P12" s="196"/>
      <c r="Q12" s="196"/>
      <c r="R12" s="196"/>
      <c r="S12" s="196"/>
      <c r="T12" s="196"/>
      <c r="U12" s="196"/>
      <c r="V12" s="196"/>
      <c r="W12" s="196"/>
      <c r="X12" s="196"/>
      <c r="Y12" s="196"/>
      <c r="Z12" s="196"/>
      <c r="AA12" s="196"/>
    </row>
    <row r="13" spans="1:27" s="197" customFormat="1" ht="12.75">
      <c r="A13" s="106">
        <f t="shared" ref="A13:A23" si="0">A12+1</f>
        <v>2</v>
      </c>
      <c r="B13" s="225" t="s">
        <v>1485</v>
      </c>
      <c r="C13" s="128" t="s">
        <v>14</v>
      </c>
      <c r="D13" s="1">
        <f>8*2.08*0.82</f>
        <v>13.6448</v>
      </c>
      <c r="E13" s="33"/>
      <c r="F13" s="33"/>
      <c r="G13" s="4"/>
      <c r="H13" s="4"/>
      <c r="I13" s="4"/>
      <c r="J13" s="337"/>
      <c r="K13" s="338"/>
      <c r="L13" s="338"/>
      <c r="M13" s="338"/>
      <c r="N13" s="338"/>
      <c r="O13" s="339"/>
      <c r="P13" s="196"/>
      <c r="Q13" s="196"/>
      <c r="R13" s="196"/>
      <c r="S13" s="196"/>
      <c r="T13" s="196"/>
      <c r="U13" s="196"/>
      <c r="V13" s="196"/>
      <c r="W13" s="196"/>
      <c r="X13" s="196"/>
      <c r="Y13" s="196"/>
      <c r="Z13" s="196"/>
      <c r="AA13" s="196"/>
    </row>
    <row r="14" spans="1:27" s="197" customFormat="1" ht="12.75">
      <c r="A14" s="106">
        <f t="shared" si="0"/>
        <v>3</v>
      </c>
      <c r="B14" s="225" t="s">
        <v>1491</v>
      </c>
      <c r="C14" s="128" t="s">
        <v>14</v>
      </c>
      <c r="D14" s="1">
        <f>1*2.13*0.97</f>
        <v>2.0661</v>
      </c>
      <c r="E14" s="33"/>
      <c r="F14" s="33"/>
      <c r="G14" s="4"/>
      <c r="H14" s="4"/>
      <c r="I14" s="4"/>
      <c r="J14" s="337"/>
      <c r="K14" s="338"/>
      <c r="L14" s="338"/>
      <c r="M14" s="338"/>
      <c r="N14" s="338"/>
      <c r="O14" s="339"/>
      <c r="P14" s="196"/>
      <c r="Q14" s="196"/>
      <c r="R14" s="196"/>
      <c r="S14" s="196"/>
      <c r="T14" s="196"/>
      <c r="U14" s="196"/>
      <c r="V14" s="196"/>
      <c r="W14" s="196"/>
      <c r="X14" s="196"/>
      <c r="Y14" s="196"/>
      <c r="Z14" s="196"/>
      <c r="AA14" s="196"/>
    </row>
    <row r="15" spans="1:27" s="197" customFormat="1" ht="24">
      <c r="A15" s="106">
        <f t="shared" si="0"/>
        <v>4</v>
      </c>
      <c r="B15" s="225" t="s">
        <v>1486</v>
      </c>
      <c r="C15" s="128" t="s">
        <v>14</v>
      </c>
      <c r="D15" s="1">
        <f>1*2.13*1.37</f>
        <v>2.9180999999999999</v>
      </c>
      <c r="E15" s="33"/>
      <c r="F15" s="33"/>
      <c r="G15" s="4"/>
      <c r="H15" s="4"/>
      <c r="I15" s="4"/>
      <c r="J15" s="337"/>
      <c r="K15" s="338"/>
      <c r="L15" s="338"/>
      <c r="M15" s="338"/>
      <c r="N15" s="338"/>
      <c r="O15" s="339"/>
      <c r="P15" s="196"/>
      <c r="Q15" s="196"/>
      <c r="R15" s="196"/>
      <c r="S15" s="196"/>
      <c r="T15" s="196"/>
      <c r="U15" s="196"/>
      <c r="V15" s="196"/>
      <c r="W15" s="196"/>
      <c r="X15" s="196"/>
      <c r="Y15" s="196"/>
      <c r="Z15" s="196"/>
      <c r="AA15" s="196"/>
    </row>
    <row r="16" spans="1:27" s="197" customFormat="1" ht="36">
      <c r="A16" s="106">
        <f t="shared" si="0"/>
        <v>5</v>
      </c>
      <c r="B16" s="225" t="s">
        <v>1492</v>
      </c>
      <c r="C16" s="128" t="s">
        <v>14</v>
      </c>
      <c r="D16" s="1">
        <f>1*2.13*1.37+1.37*0.45</f>
        <v>3.5346000000000002</v>
      </c>
      <c r="E16" s="33"/>
      <c r="F16" s="33"/>
      <c r="G16" s="4"/>
      <c r="H16" s="4"/>
      <c r="I16" s="4"/>
      <c r="J16" s="337"/>
      <c r="K16" s="338"/>
      <c r="L16" s="338"/>
      <c r="M16" s="338"/>
      <c r="N16" s="338"/>
      <c r="O16" s="339"/>
      <c r="P16" s="196"/>
      <c r="Q16" s="196"/>
      <c r="R16" s="196"/>
      <c r="S16" s="196"/>
      <c r="T16" s="196"/>
      <c r="U16" s="196"/>
      <c r="V16" s="196"/>
      <c r="W16" s="196"/>
      <c r="X16" s="196"/>
      <c r="Y16" s="196"/>
      <c r="Z16" s="196"/>
      <c r="AA16" s="196"/>
    </row>
    <row r="17" spans="1:27" s="197" customFormat="1" ht="24">
      <c r="A17" s="106">
        <f t="shared" si="0"/>
        <v>6</v>
      </c>
      <c r="B17" s="225" t="s">
        <v>1487</v>
      </c>
      <c r="C17" s="128" t="s">
        <v>14</v>
      </c>
      <c r="D17" s="1">
        <f>1*2.13*1.37+1.37*0.45</f>
        <v>3.5346000000000002</v>
      </c>
      <c r="E17" s="33"/>
      <c r="F17" s="33"/>
      <c r="G17" s="4"/>
      <c r="H17" s="4"/>
      <c r="I17" s="4"/>
      <c r="J17" s="337"/>
      <c r="K17" s="338"/>
      <c r="L17" s="338"/>
      <c r="M17" s="338"/>
      <c r="N17" s="338"/>
      <c r="O17" s="339"/>
      <c r="P17" s="196"/>
      <c r="Q17" s="196"/>
      <c r="R17" s="196"/>
      <c r="S17" s="196"/>
      <c r="T17" s="196"/>
      <c r="U17" s="196"/>
      <c r="V17" s="196"/>
      <c r="W17" s="196"/>
      <c r="X17" s="196"/>
      <c r="Y17" s="196"/>
      <c r="Z17" s="196"/>
      <c r="AA17" s="196"/>
    </row>
    <row r="18" spans="1:27" s="197" customFormat="1" ht="24">
      <c r="A18" s="106">
        <f t="shared" si="0"/>
        <v>7</v>
      </c>
      <c r="B18" s="225" t="s">
        <v>1488</v>
      </c>
      <c r="C18" s="13" t="s">
        <v>30</v>
      </c>
      <c r="D18" s="10">
        <v>1</v>
      </c>
      <c r="E18" s="132"/>
      <c r="F18" s="33"/>
      <c r="G18" s="4"/>
      <c r="H18" s="4"/>
      <c r="I18" s="4"/>
      <c r="J18" s="337"/>
      <c r="K18" s="338"/>
      <c r="L18" s="338"/>
      <c r="M18" s="338"/>
      <c r="N18" s="338"/>
      <c r="O18" s="339"/>
      <c r="P18" s="196"/>
      <c r="Q18" s="196"/>
      <c r="R18" s="196"/>
      <c r="S18" s="196"/>
      <c r="T18" s="196"/>
      <c r="U18" s="196"/>
      <c r="V18" s="196"/>
      <c r="W18" s="196"/>
      <c r="X18" s="196"/>
      <c r="Y18" s="196"/>
      <c r="Z18" s="196"/>
      <c r="AA18" s="196"/>
    </row>
    <row r="19" spans="1:27" s="197" customFormat="1" ht="24">
      <c r="A19" s="106">
        <f t="shared" si="0"/>
        <v>8</v>
      </c>
      <c r="B19" s="225" t="s">
        <v>1489</v>
      </c>
      <c r="C19" s="128" t="s">
        <v>30</v>
      </c>
      <c r="D19" s="10">
        <v>4</v>
      </c>
      <c r="E19" s="132"/>
      <c r="F19" s="33"/>
      <c r="G19" s="4"/>
      <c r="H19" s="4"/>
      <c r="I19" s="4"/>
      <c r="J19" s="337"/>
      <c r="K19" s="338"/>
      <c r="L19" s="338"/>
      <c r="M19" s="338"/>
      <c r="N19" s="338"/>
      <c r="O19" s="339"/>
      <c r="P19" s="196"/>
      <c r="Q19" s="196"/>
      <c r="R19" s="196"/>
      <c r="S19" s="196"/>
      <c r="T19" s="196"/>
      <c r="U19" s="196"/>
      <c r="V19" s="196"/>
      <c r="W19" s="196"/>
      <c r="X19" s="196"/>
      <c r="Y19" s="196"/>
      <c r="Z19" s="196"/>
      <c r="AA19" s="196"/>
    </row>
    <row r="20" spans="1:27" s="197" customFormat="1" ht="24">
      <c r="A20" s="106">
        <f t="shared" si="0"/>
        <v>9</v>
      </c>
      <c r="B20" s="225" t="s">
        <v>1490</v>
      </c>
      <c r="C20" s="128" t="s">
        <v>30</v>
      </c>
      <c r="D20" s="10">
        <v>1</v>
      </c>
      <c r="E20" s="132"/>
      <c r="F20" s="33"/>
      <c r="G20" s="4"/>
      <c r="H20" s="4"/>
      <c r="I20" s="4"/>
      <c r="J20" s="337"/>
      <c r="K20" s="338"/>
      <c r="L20" s="338"/>
      <c r="M20" s="338"/>
      <c r="N20" s="338"/>
      <c r="O20" s="339"/>
      <c r="P20" s="196"/>
      <c r="Q20" s="196"/>
      <c r="R20" s="196"/>
      <c r="S20" s="196"/>
      <c r="T20" s="196"/>
      <c r="U20" s="196"/>
      <c r="V20" s="196"/>
      <c r="W20" s="196"/>
      <c r="X20" s="196"/>
      <c r="Y20" s="196"/>
      <c r="Z20" s="196"/>
      <c r="AA20" s="196"/>
    </row>
    <row r="21" spans="1:27" s="197" customFormat="1" ht="36">
      <c r="A21" s="106">
        <f t="shared" si="0"/>
        <v>10</v>
      </c>
      <c r="B21" s="225" t="s">
        <v>1347</v>
      </c>
      <c r="C21" s="128" t="s">
        <v>30</v>
      </c>
      <c r="D21" s="10">
        <v>1</v>
      </c>
      <c r="E21" s="132"/>
      <c r="F21" s="33"/>
      <c r="G21" s="4"/>
      <c r="H21" s="4"/>
      <c r="I21" s="4"/>
      <c r="J21" s="337"/>
      <c r="K21" s="338"/>
      <c r="L21" s="338"/>
      <c r="M21" s="338"/>
      <c r="N21" s="338"/>
      <c r="O21" s="339"/>
      <c r="P21" s="196"/>
      <c r="Q21" s="196"/>
      <c r="R21" s="196"/>
      <c r="S21" s="196"/>
      <c r="T21" s="196"/>
      <c r="U21" s="196"/>
      <c r="V21" s="196"/>
      <c r="W21" s="196"/>
      <c r="X21" s="196"/>
      <c r="Y21" s="196"/>
      <c r="Z21" s="196"/>
      <c r="AA21" s="196"/>
    </row>
    <row r="22" spans="1:27" s="197" customFormat="1" ht="24">
      <c r="A22" s="106">
        <f t="shared" si="0"/>
        <v>11</v>
      </c>
      <c r="B22" s="225" t="s">
        <v>1493</v>
      </c>
      <c r="C22" s="128" t="s">
        <v>14</v>
      </c>
      <c r="D22" s="1">
        <f>14*0.98*3.98+2*2.98*0.98+3*2.98*1.43+8*2.3*1.43+0.98*4.43</f>
        <v>103.88399999999999</v>
      </c>
      <c r="E22" s="33"/>
      <c r="F22" s="33"/>
      <c r="G22" s="4"/>
      <c r="H22" s="4"/>
      <c r="I22" s="4"/>
      <c r="J22" s="337"/>
      <c r="K22" s="338"/>
      <c r="L22" s="338"/>
      <c r="M22" s="338"/>
      <c r="N22" s="338"/>
      <c r="O22" s="339"/>
      <c r="P22" s="195"/>
      <c r="Q22" s="195"/>
      <c r="R22" s="196"/>
      <c r="S22" s="196"/>
      <c r="T22" s="196"/>
      <c r="U22" s="196"/>
      <c r="V22" s="196"/>
      <c r="W22" s="196"/>
      <c r="X22" s="196"/>
      <c r="Y22" s="196"/>
      <c r="Z22" s="196"/>
      <c r="AA22" s="196"/>
    </row>
    <row r="23" spans="1:27" s="198" customFormat="1" ht="12.75">
      <c r="A23" s="106">
        <f t="shared" si="0"/>
        <v>12</v>
      </c>
      <c r="B23" s="49" t="s">
        <v>386</v>
      </c>
      <c r="C23" s="13" t="s">
        <v>42</v>
      </c>
      <c r="D23" s="9">
        <v>28.4</v>
      </c>
      <c r="E23" s="33"/>
      <c r="F23" s="4"/>
      <c r="G23" s="4"/>
      <c r="H23" s="4"/>
      <c r="I23" s="4"/>
      <c r="J23" s="337"/>
      <c r="K23" s="338"/>
      <c r="L23" s="338"/>
      <c r="M23" s="338"/>
      <c r="N23" s="338"/>
      <c r="O23" s="339"/>
    </row>
    <row r="24" spans="1:27" s="198" customFormat="1" ht="12.75">
      <c r="A24" s="19" t="s">
        <v>1397</v>
      </c>
      <c r="B24" s="24" t="s">
        <v>391</v>
      </c>
      <c r="C24" s="13" t="s">
        <v>42</v>
      </c>
      <c r="D24" s="9">
        <f>ROUND(27.4*1.1,2)</f>
        <v>30.14</v>
      </c>
      <c r="E24" s="4"/>
      <c r="F24" s="4"/>
      <c r="G24" s="4"/>
      <c r="H24" s="11"/>
      <c r="I24" s="4"/>
      <c r="J24" s="337"/>
      <c r="K24" s="338"/>
      <c r="L24" s="338"/>
      <c r="M24" s="338"/>
      <c r="N24" s="338"/>
      <c r="O24" s="339"/>
    </row>
    <row r="25" spans="1:27" s="198" customFormat="1" ht="12.75">
      <c r="A25" s="19" t="s">
        <v>1398</v>
      </c>
      <c r="B25" s="24" t="s">
        <v>1164</v>
      </c>
      <c r="C25" s="13" t="s">
        <v>42</v>
      </c>
      <c r="D25" s="9">
        <f>ROUND(1*1.1,2)</f>
        <v>1.1000000000000001</v>
      </c>
      <c r="E25" s="4"/>
      <c r="F25" s="4"/>
      <c r="G25" s="4"/>
      <c r="H25" s="11"/>
      <c r="I25" s="4"/>
      <c r="J25" s="337"/>
      <c r="K25" s="338"/>
      <c r="L25" s="338"/>
      <c r="M25" s="338"/>
      <c r="N25" s="338"/>
      <c r="O25" s="339"/>
    </row>
    <row r="26" spans="1:27" s="198" customFormat="1" ht="12.75">
      <c r="A26" s="19" t="s">
        <v>1399</v>
      </c>
      <c r="B26" s="24" t="s">
        <v>387</v>
      </c>
      <c r="C26" s="13" t="s">
        <v>30</v>
      </c>
      <c r="D26" s="10">
        <v>1</v>
      </c>
      <c r="E26" s="4"/>
      <c r="F26" s="4"/>
      <c r="G26" s="4"/>
      <c r="H26" s="11"/>
      <c r="I26" s="4"/>
      <c r="J26" s="337"/>
      <c r="K26" s="338"/>
      <c r="L26" s="338"/>
      <c r="M26" s="338"/>
      <c r="N26" s="338"/>
      <c r="O26" s="339"/>
    </row>
    <row r="27" spans="1:27" s="197" customFormat="1">
      <c r="A27" s="106">
        <v>13</v>
      </c>
      <c r="B27" s="194" t="s">
        <v>388</v>
      </c>
      <c r="C27" s="128" t="s">
        <v>42</v>
      </c>
      <c r="D27" s="1">
        <v>90.4</v>
      </c>
      <c r="E27" s="33"/>
      <c r="F27" s="4"/>
      <c r="G27" s="4"/>
      <c r="H27" s="4"/>
      <c r="I27" s="4"/>
      <c r="J27" s="337"/>
      <c r="K27" s="338"/>
      <c r="L27" s="338"/>
      <c r="M27" s="338"/>
      <c r="N27" s="338"/>
      <c r="O27" s="339"/>
      <c r="P27" s="195"/>
      <c r="Q27" s="195"/>
      <c r="R27" s="196"/>
      <c r="S27" s="196"/>
      <c r="T27" s="196"/>
      <c r="U27" s="196"/>
      <c r="V27" s="196"/>
      <c r="W27" s="196"/>
      <c r="X27" s="196"/>
      <c r="Y27" s="196"/>
      <c r="Z27" s="196"/>
      <c r="AA27" s="196"/>
    </row>
    <row r="28" spans="1:27" s="197" customFormat="1">
      <c r="A28" s="19" t="s">
        <v>1365</v>
      </c>
      <c r="B28" s="308" t="s">
        <v>389</v>
      </c>
      <c r="C28" s="13" t="s">
        <v>42</v>
      </c>
      <c r="D28" s="9">
        <f>ROUND(D27*1.1,2)</f>
        <v>99.44</v>
      </c>
      <c r="E28" s="33"/>
      <c r="F28" s="33"/>
      <c r="G28" s="4"/>
      <c r="H28" s="11"/>
      <c r="I28" s="4"/>
      <c r="J28" s="337"/>
      <c r="K28" s="338"/>
      <c r="L28" s="338"/>
      <c r="M28" s="338"/>
      <c r="N28" s="338"/>
      <c r="O28" s="339"/>
      <c r="P28" s="195"/>
      <c r="Q28" s="195"/>
      <c r="R28" s="196"/>
      <c r="S28" s="196"/>
      <c r="T28" s="196"/>
      <c r="U28" s="196"/>
      <c r="V28" s="196"/>
      <c r="W28" s="196"/>
      <c r="X28" s="196"/>
      <c r="Y28" s="196"/>
      <c r="Z28" s="196"/>
      <c r="AA28" s="196"/>
    </row>
    <row r="29" spans="1:27" s="197" customFormat="1">
      <c r="A29" s="19" t="s">
        <v>1366</v>
      </c>
      <c r="B29" s="308" t="s">
        <v>390</v>
      </c>
      <c r="C29" s="128" t="s">
        <v>30</v>
      </c>
      <c r="D29" s="10">
        <v>1</v>
      </c>
      <c r="E29" s="33"/>
      <c r="F29" s="33"/>
      <c r="G29" s="4"/>
      <c r="H29" s="11"/>
      <c r="I29" s="4"/>
      <c r="J29" s="337"/>
      <c r="K29" s="338"/>
      <c r="L29" s="338"/>
      <c r="M29" s="338"/>
      <c r="N29" s="338"/>
      <c r="O29" s="339"/>
      <c r="P29" s="195"/>
      <c r="Q29" s="309"/>
      <c r="R29" s="196"/>
      <c r="S29" s="196"/>
      <c r="T29" s="196"/>
      <c r="U29" s="196"/>
      <c r="V29" s="196"/>
      <c r="W29" s="196"/>
      <c r="X29" s="196"/>
      <c r="Y29" s="196"/>
      <c r="Z29" s="196"/>
      <c r="AA29" s="196"/>
    </row>
    <row r="30" spans="1:27" s="198" customFormat="1" ht="12.75">
      <c r="A30" s="106">
        <v>14</v>
      </c>
      <c r="B30" s="49" t="s">
        <v>1163</v>
      </c>
      <c r="C30" s="13" t="s">
        <v>30</v>
      </c>
      <c r="D30" s="10">
        <v>3</v>
      </c>
      <c r="E30" s="4"/>
      <c r="F30" s="33"/>
      <c r="G30" s="4"/>
      <c r="H30" s="4"/>
      <c r="I30" s="4"/>
      <c r="J30" s="337"/>
      <c r="K30" s="338"/>
      <c r="L30" s="338"/>
      <c r="M30" s="338"/>
      <c r="N30" s="338"/>
      <c r="O30" s="339"/>
    </row>
    <row r="31" spans="1:27" s="198" customFormat="1" ht="12.75">
      <c r="A31" s="19" t="s">
        <v>1402</v>
      </c>
      <c r="B31" s="24" t="s">
        <v>1156</v>
      </c>
      <c r="C31" s="13" t="s">
        <v>30</v>
      </c>
      <c r="D31" s="10">
        <v>3</v>
      </c>
      <c r="E31" s="4"/>
      <c r="F31" s="4"/>
      <c r="G31" s="4"/>
      <c r="H31" s="4"/>
      <c r="I31" s="4"/>
      <c r="J31" s="337"/>
      <c r="K31" s="338"/>
      <c r="L31" s="338"/>
      <c r="M31" s="338"/>
      <c r="N31" s="338"/>
      <c r="O31" s="339"/>
      <c r="P31" s="199"/>
      <c r="R31" s="196">
        <f>D31*(3.6+2.2*2)</f>
        <v>24</v>
      </c>
    </row>
    <row r="32" spans="1:27" s="198" customFormat="1" ht="12.75">
      <c r="A32" s="19" t="s">
        <v>1403</v>
      </c>
      <c r="B32" s="24" t="s">
        <v>146</v>
      </c>
      <c r="C32" s="13" t="s">
        <v>30</v>
      </c>
      <c r="D32" s="10">
        <v>3</v>
      </c>
      <c r="E32" s="4"/>
      <c r="F32" s="4"/>
      <c r="G32" s="4"/>
      <c r="H32" s="4"/>
      <c r="I32" s="4"/>
      <c r="J32" s="337"/>
      <c r="K32" s="338"/>
      <c r="L32" s="338"/>
      <c r="M32" s="338"/>
      <c r="N32" s="338"/>
      <c r="O32" s="339"/>
      <c r="P32" s="199"/>
    </row>
    <row r="33" spans="1:27" s="198" customFormat="1" ht="13.5" thickBot="1">
      <c r="A33" s="19" t="s">
        <v>1404</v>
      </c>
      <c r="B33" s="24" t="s">
        <v>147</v>
      </c>
      <c r="C33" s="13" t="s">
        <v>30</v>
      </c>
      <c r="D33" s="10">
        <v>3</v>
      </c>
      <c r="E33" s="4"/>
      <c r="F33" s="4"/>
      <c r="G33" s="4"/>
      <c r="H33" s="4"/>
      <c r="I33" s="4"/>
      <c r="J33" s="337"/>
      <c r="K33" s="338"/>
      <c r="L33" s="338"/>
      <c r="M33" s="338"/>
      <c r="N33" s="338"/>
      <c r="O33" s="339"/>
      <c r="P33" s="199"/>
    </row>
    <row r="34" spans="1:27" s="102" customFormat="1" ht="15.75" thickTop="1" thickBot="1">
      <c r="A34" s="181"/>
      <c r="B34" s="400" t="s">
        <v>1587</v>
      </c>
      <c r="C34" s="401"/>
      <c r="D34" s="401"/>
      <c r="E34" s="401"/>
      <c r="F34" s="401"/>
      <c r="G34" s="401"/>
      <c r="H34" s="401"/>
      <c r="I34" s="401"/>
      <c r="J34" s="402"/>
      <c r="K34" s="182"/>
      <c r="L34" s="182"/>
      <c r="M34" s="182"/>
      <c r="N34" s="182"/>
      <c r="O34" s="183"/>
      <c r="P34" s="25"/>
      <c r="Q34" s="25"/>
      <c r="R34" s="25"/>
      <c r="S34" s="25"/>
      <c r="T34" s="25"/>
      <c r="U34" s="25"/>
      <c r="V34" s="25"/>
      <c r="W34" s="25"/>
      <c r="X34" s="25"/>
      <c r="Y34" s="25"/>
      <c r="Z34" s="25"/>
      <c r="AA34" s="25"/>
    </row>
    <row r="35" spans="1:27" s="102" customFormat="1" ht="15" thickTop="1">
      <c r="B35" s="200"/>
      <c r="P35" s="25"/>
      <c r="Q35" s="25"/>
      <c r="R35" s="25"/>
      <c r="S35" s="25"/>
      <c r="T35" s="25"/>
      <c r="U35" s="25"/>
      <c r="V35" s="25"/>
      <c r="W35" s="25"/>
      <c r="X35" s="25"/>
      <c r="Y35" s="25"/>
      <c r="Z35" s="25"/>
      <c r="AA35" s="25"/>
    </row>
    <row r="36" spans="1:27" s="102" customFormat="1">
      <c r="A36" s="117"/>
      <c r="B36" s="172" t="s">
        <v>209</v>
      </c>
      <c r="C36" s="117"/>
      <c r="D36" s="117"/>
      <c r="E36" s="117"/>
      <c r="F36" s="117"/>
      <c r="G36" s="117"/>
      <c r="H36" s="117"/>
      <c r="P36" s="25"/>
      <c r="Q36" s="25"/>
      <c r="R36" s="25"/>
      <c r="S36" s="25"/>
      <c r="T36" s="25"/>
      <c r="U36" s="25"/>
      <c r="V36" s="25"/>
      <c r="W36" s="25"/>
      <c r="X36" s="25"/>
      <c r="Y36" s="25"/>
      <c r="Z36" s="25"/>
      <c r="AA36" s="25"/>
    </row>
    <row r="37" spans="1:27" s="102" customFormat="1" ht="9.75" customHeight="1">
      <c r="A37" s="117"/>
      <c r="B37" s="172"/>
      <c r="C37" s="117"/>
      <c r="D37" s="117"/>
      <c r="E37" s="117"/>
      <c r="F37" s="117"/>
      <c r="G37" s="117"/>
      <c r="H37" s="117"/>
      <c r="P37" s="25"/>
      <c r="Q37" s="25"/>
      <c r="R37" s="25"/>
      <c r="S37" s="25"/>
      <c r="T37" s="25"/>
      <c r="U37" s="25"/>
      <c r="V37" s="25"/>
      <c r="W37" s="25"/>
      <c r="X37" s="25"/>
      <c r="Y37" s="25"/>
      <c r="Z37" s="25"/>
      <c r="AA37" s="25"/>
    </row>
    <row r="38" spans="1:27" s="102" customFormat="1">
      <c r="B38" s="92">
        <f ca="1">TODAY()</f>
        <v>43206</v>
      </c>
      <c r="P38" s="25"/>
      <c r="Q38" s="25"/>
      <c r="R38" s="25"/>
      <c r="S38" s="25"/>
      <c r="T38" s="25"/>
      <c r="U38" s="25"/>
      <c r="V38" s="25"/>
      <c r="W38" s="25"/>
      <c r="X38" s="25"/>
      <c r="Y38" s="25"/>
      <c r="Z38" s="25"/>
      <c r="AA38" s="25"/>
    </row>
    <row r="39" spans="1:27" s="102" customFormat="1" ht="6.75" customHeight="1">
      <c r="P39" s="25"/>
      <c r="Q39" s="25"/>
      <c r="R39" s="25"/>
      <c r="S39" s="25"/>
      <c r="T39" s="25"/>
      <c r="U39" s="25"/>
      <c r="V39" s="25"/>
      <c r="W39" s="25"/>
      <c r="X39" s="25"/>
      <c r="Y39" s="25"/>
      <c r="Z39" s="25"/>
      <c r="AA39" s="25"/>
    </row>
    <row r="40" spans="1:27" s="102" customFormat="1">
      <c r="B40" s="220" t="s">
        <v>1358</v>
      </c>
      <c r="P40" s="25"/>
      <c r="Q40" s="25"/>
      <c r="R40" s="25"/>
      <c r="S40" s="25"/>
      <c r="T40" s="25"/>
    </row>
    <row r="41" spans="1:27" s="102" customFormat="1">
      <c r="A41" s="142"/>
      <c r="B41" s="248" t="s">
        <v>1494</v>
      </c>
      <c r="C41" s="248"/>
      <c r="D41" s="360"/>
      <c r="E41" s="360"/>
      <c r="F41" s="360"/>
      <c r="G41" s="248"/>
      <c r="H41" s="248"/>
      <c r="I41" s="248"/>
      <c r="J41" s="248"/>
      <c r="K41" s="248"/>
      <c r="L41" s="248"/>
      <c r="M41" s="248"/>
      <c r="N41" s="248"/>
      <c r="O41" s="248"/>
      <c r="P41" s="25"/>
      <c r="Q41" s="25"/>
      <c r="R41" s="25"/>
      <c r="S41" s="25"/>
      <c r="T41" s="25"/>
    </row>
    <row r="42" spans="1:27" s="102" customFormat="1">
      <c r="A42" s="142"/>
      <c r="B42" s="248" t="s">
        <v>1495</v>
      </c>
      <c r="C42" s="248"/>
      <c r="D42" s="360"/>
      <c r="E42" s="360"/>
      <c r="F42" s="360"/>
      <c r="G42" s="248"/>
      <c r="H42" s="248"/>
      <c r="I42" s="248"/>
      <c r="J42" s="248"/>
      <c r="K42" s="248"/>
      <c r="L42" s="248"/>
      <c r="M42" s="248"/>
      <c r="N42" s="248"/>
      <c r="O42" s="248"/>
      <c r="P42" s="25"/>
      <c r="Q42" s="25"/>
      <c r="R42" s="25"/>
      <c r="S42" s="25"/>
      <c r="T42" s="25"/>
    </row>
    <row r="43" spans="1:27">
      <c r="B43" s="248" t="s">
        <v>1496</v>
      </c>
      <c r="C43" s="248"/>
      <c r="D43" s="360"/>
      <c r="E43" s="360"/>
      <c r="F43" s="360"/>
      <c r="G43" s="248"/>
      <c r="H43" s="248"/>
      <c r="I43" s="248"/>
      <c r="J43" s="248"/>
      <c r="K43" s="248"/>
      <c r="L43" s="248"/>
      <c r="M43" s="248"/>
      <c r="N43" s="248"/>
      <c r="O43" s="248"/>
      <c r="P43" s="248"/>
    </row>
    <row r="44" spans="1:27">
      <c r="B44" s="248" t="s">
        <v>1497</v>
      </c>
      <c r="C44" s="248"/>
      <c r="D44" s="360"/>
      <c r="E44" s="360"/>
      <c r="F44" s="360"/>
      <c r="G44" s="248"/>
      <c r="H44" s="248"/>
      <c r="I44" s="248"/>
      <c r="J44" s="248"/>
      <c r="K44" s="248"/>
      <c r="L44" s="248"/>
      <c r="M44" s="248"/>
      <c r="N44" s="248"/>
      <c r="O44" s="248"/>
      <c r="P44" s="248"/>
    </row>
    <row r="45" spans="1:27">
      <c r="B45" s="248" t="s">
        <v>1498</v>
      </c>
      <c r="C45" s="248"/>
      <c r="D45" s="360"/>
      <c r="E45" s="360"/>
      <c r="F45" s="360"/>
      <c r="G45" s="248"/>
      <c r="H45" s="248"/>
      <c r="I45" s="248"/>
      <c r="J45" s="248"/>
      <c r="K45" s="248"/>
      <c r="L45" s="248"/>
      <c r="M45" s="248"/>
      <c r="N45" s="248"/>
      <c r="O45" s="248"/>
      <c r="P45" s="248"/>
    </row>
    <row r="46" spans="1:27">
      <c r="B46" s="248" t="s">
        <v>1499</v>
      </c>
      <c r="C46" s="248"/>
      <c r="D46" s="360"/>
      <c r="E46" s="360"/>
      <c r="F46" s="360"/>
      <c r="G46" s="248"/>
      <c r="H46" s="248"/>
      <c r="I46" s="248"/>
      <c r="J46" s="248"/>
      <c r="K46" s="248"/>
      <c r="L46" s="248"/>
      <c r="M46" s="248"/>
      <c r="N46" s="248"/>
      <c r="O46" s="248"/>
      <c r="P46" s="248"/>
    </row>
    <row r="47" spans="1:27">
      <c r="B47" s="248" t="s">
        <v>1500</v>
      </c>
      <c r="C47" s="248"/>
      <c r="D47" s="360"/>
      <c r="E47" s="360"/>
      <c r="F47" s="360"/>
      <c r="G47" s="248"/>
      <c r="H47" s="248"/>
      <c r="I47" s="248"/>
      <c r="J47" s="248"/>
      <c r="K47" s="248"/>
      <c r="L47" s="248"/>
      <c r="M47" s="248"/>
      <c r="N47" s="248"/>
      <c r="O47" s="248"/>
      <c r="P47" s="248"/>
    </row>
    <row r="48" spans="1:27">
      <c r="B48" s="248"/>
      <c r="C48" s="248"/>
      <c r="D48" s="360"/>
      <c r="E48" s="360"/>
      <c r="F48" s="360"/>
      <c r="G48" s="248"/>
      <c r="H48" s="248"/>
      <c r="I48" s="248"/>
      <c r="J48" s="248"/>
      <c r="K48" s="248"/>
      <c r="L48" s="248"/>
      <c r="M48" s="248"/>
      <c r="N48" s="248"/>
      <c r="O48" s="248"/>
      <c r="P48" s="248"/>
    </row>
    <row r="49" spans="16:16">
      <c r="P49" s="248"/>
    </row>
    <row r="50" spans="16:16">
      <c r="P50" s="248"/>
    </row>
  </sheetData>
  <mergeCells count="22">
    <mergeCell ref="B34:J34"/>
    <mergeCell ref="N8:N10"/>
    <mergeCell ref="I8:I10"/>
    <mergeCell ref="J8:J10"/>
    <mergeCell ref="K8:K10"/>
    <mergeCell ref="L8:L10"/>
    <mergeCell ref="O8:O10"/>
    <mergeCell ref="M8:M10"/>
    <mergeCell ref="A1:O1"/>
    <mergeCell ref="J6:M6"/>
    <mergeCell ref="N6:O6"/>
    <mergeCell ref="A7:A10"/>
    <mergeCell ref="B7:B10"/>
    <mergeCell ref="A2:O2"/>
    <mergeCell ref="C7:C10"/>
    <mergeCell ref="D7:D10"/>
    <mergeCell ref="E7:J7"/>
    <mergeCell ref="K7:O7"/>
    <mergeCell ref="E8:E10"/>
    <mergeCell ref="F8:F10"/>
    <mergeCell ref="G8:G10"/>
    <mergeCell ref="H8:H10"/>
  </mergeCells>
  <printOptions horizontalCentered="1"/>
  <pageMargins left="0.51181102362204722" right="0.51181102362204722" top="0.98425196850393704" bottom="0.78740157480314965"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C172"/>
  <sheetViews>
    <sheetView topLeftCell="A52" zoomScaleNormal="100" workbookViewId="0">
      <selection activeCell="J73" sqref="J73"/>
    </sheetView>
  </sheetViews>
  <sheetFormatPr defaultColWidth="9.140625" defaultRowHeight="12.75"/>
  <cols>
    <col min="1" max="1" width="6.5703125" style="15" customWidth="1"/>
    <col min="2" max="2" width="35.5703125" style="15" customWidth="1"/>
    <col min="3" max="3" width="8.85546875" style="15" customWidth="1"/>
    <col min="4" max="4" width="7.140625" style="15" customWidth="1"/>
    <col min="5" max="10" width="8.28515625" style="15" customWidth="1"/>
    <col min="11" max="14" width="9.28515625" style="15" customWidth="1"/>
    <col min="15" max="15" width="11.28515625" style="15" customWidth="1"/>
    <col min="16" max="16384" width="9.140625" style="15"/>
  </cols>
  <sheetData>
    <row r="1" spans="1:55" s="27" customFormat="1" ht="14.25">
      <c r="A1" s="368" t="s">
        <v>293</v>
      </c>
      <c r="B1" s="368"/>
      <c r="C1" s="368"/>
      <c r="D1" s="368"/>
      <c r="E1" s="368"/>
      <c r="F1" s="368"/>
      <c r="G1" s="368"/>
      <c r="H1" s="368"/>
      <c r="I1" s="368"/>
      <c r="J1" s="368"/>
      <c r="K1" s="368"/>
      <c r="L1" s="368"/>
      <c r="M1" s="368"/>
      <c r="N1" s="368"/>
      <c r="O1" s="368"/>
    </row>
    <row r="2" spans="1:55" s="27" customFormat="1" ht="14.25">
      <c r="A2" s="405" t="str">
        <f>Kopsavilkums!C24</f>
        <v>Starpsienas</v>
      </c>
      <c r="B2" s="405"/>
      <c r="C2" s="405"/>
      <c r="D2" s="405"/>
      <c r="E2" s="405"/>
      <c r="F2" s="405"/>
      <c r="G2" s="405"/>
      <c r="H2" s="405"/>
      <c r="I2" s="405"/>
      <c r="J2" s="405"/>
      <c r="K2" s="405"/>
      <c r="L2" s="405"/>
      <c r="M2" s="405"/>
      <c r="N2" s="405"/>
      <c r="O2" s="405"/>
    </row>
    <row r="3" spans="1:55" s="27" customFormat="1" ht="14.25">
      <c r="A3" s="115" t="s">
        <v>1246</v>
      </c>
      <c r="B3" s="119"/>
      <c r="C3" s="119"/>
      <c r="D3" s="119"/>
      <c r="E3" s="119"/>
      <c r="F3" s="119"/>
      <c r="G3" s="119"/>
      <c r="H3" s="119"/>
      <c r="I3" s="119"/>
      <c r="J3" s="119"/>
      <c r="K3" s="119"/>
      <c r="L3" s="119"/>
      <c r="M3" s="119"/>
      <c r="N3" s="119"/>
      <c r="O3" s="119"/>
    </row>
    <row r="4" spans="1:55" s="27" customFormat="1" ht="14.25">
      <c r="A4" s="115" t="s">
        <v>307</v>
      </c>
      <c r="B4" s="119"/>
      <c r="C4" s="119"/>
      <c r="D4" s="119"/>
      <c r="E4" s="119"/>
      <c r="F4" s="119"/>
      <c r="G4" s="119"/>
      <c r="H4" s="119"/>
      <c r="I4" s="119"/>
      <c r="J4" s="119"/>
      <c r="K4" s="119"/>
      <c r="L4" s="119"/>
      <c r="M4" s="119"/>
      <c r="N4" s="119"/>
      <c r="O4" s="119"/>
    </row>
    <row r="5" spans="1:55" s="27" customFormat="1" ht="14.25">
      <c r="A5" s="115" t="s">
        <v>306</v>
      </c>
      <c r="B5" s="119"/>
      <c r="C5" s="119"/>
      <c r="D5" s="119"/>
      <c r="E5" s="119"/>
      <c r="F5" s="119"/>
      <c r="G5" s="119"/>
      <c r="H5" s="119"/>
      <c r="I5" s="119"/>
      <c r="J5" s="119"/>
      <c r="K5" s="119"/>
      <c r="L5" s="119"/>
      <c r="M5" s="119"/>
      <c r="N5" s="119"/>
      <c r="O5" s="119"/>
    </row>
    <row r="6" spans="1:55" ht="13.5" thickBot="1">
      <c r="E6" s="28"/>
      <c r="F6" s="28"/>
      <c r="G6" s="28"/>
      <c r="H6" s="28"/>
      <c r="I6" s="28"/>
      <c r="J6" s="370" t="s">
        <v>13</v>
      </c>
      <c r="K6" s="370"/>
      <c r="L6" s="370"/>
      <c r="M6" s="370"/>
      <c r="N6" s="406" t="e">
        <f>#REF!</f>
        <v>#REF!</v>
      </c>
      <c r="O6" s="406"/>
    </row>
    <row r="7" spans="1:55" s="28" customFormat="1" ht="12.75" customHeight="1">
      <c r="A7" s="378" t="s">
        <v>27</v>
      </c>
      <c r="B7" s="381" t="s">
        <v>28</v>
      </c>
      <c r="C7" s="381" t="s">
        <v>17</v>
      </c>
      <c r="D7" s="381" t="s">
        <v>19</v>
      </c>
      <c r="E7" s="390" t="s">
        <v>15</v>
      </c>
      <c r="F7" s="391"/>
      <c r="G7" s="391"/>
      <c r="H7" s="391"/>
      <c r="I7" s="391"/>
      <c r="J7" s="392"/>
      <c r="K7" s="390" t="s">
        <v>16</v>
      </c>
      <c r="L7" s="391"/>
      <c r="M7" s="391"/>
      <c r="N7" s="391"/>
      <c r="O7" s="393"/>
    </row>
    <row r="8" spans="1:55" s="28"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55" s="28" customFormat="1">
      <c r="A9" s="379"/>
      <c r="B9" s="382"/>
      <c r="C9" s="382"/>
      <c r="D9" s="382"/>
      <c r="E9" s="394"/>
      <c r="F9" s="376"/>
      <c r="G9" s="376"/>
      <c r="H9" s="376"/>
      <c r="I9" s="376"/>
      <c r="J9" s="373"/>
      <c r="K9" s="376"/>
      <c r="L9" s="376"/>
      <c r="M9" s="376"/>
      <c r="N9" s="376"/>
      <c r="O9" s="385"/>
    </row>
    <row r="10" spans="1:55" s="28" customFormat="1">
      <c r="A10" s="379"/>
      <c r="B10" s="382"/>
      <c r="C10" s="382"/>
      <c r="D10" s="382"/>
      <c r="E10" s="394"/>
      <c r="F10" s="376"/>
      <c r="G10" s="376"/>
      <c r="H10" s="376"/>
      <c r="I10" s="376"/>
      <c r="J10" s="373"/>
      <c r="K10" s="376"/>
      <c r="L10" s="376"/>
      <c r="M10" s="376"/>
      <c r="N10" s="376"/>
      <c r="O10" s="385"/>
    </row>
    <row r="11" spans="1:55" s="28" customFormat="1" ht="13.5" thickBot="1">
      <c r="A11" s="380"/>
      <c r="B11" s="383"/>
      <c r="C11" s="383"/>
      <c r="D11" s="383"/>
      <c r="E11" s="395"/>
      <c r="F11" s="377"/>
      <c r="G11" s="377"/>
      <c r="H11" s="377"/>
      <c r="I11" s="377"/>
      <c r="J11" s="374"/>
      <c r="K11" s="377"/>
      <c r="L11" s="377"/>
      <c r="M11" s="377"/>
      <c r="N11" s="377"/>
      <c r="O11" s="386"/>
    </row>
    <row r="12" spans="1:55" s="28" customFormat="1" ht="14.25" thickTop="1" thickBot="1">
      <c r="A12" s="29">
        <v>1</v>
      </c>
      <c r="B12" s="30">
        <v>2</v>
      </c>
      <c r="C12" s="30">
        <v>3</v>
      </c>
      <c r="D12" s="30">
        <v>4</v>
      </c>
      <c r="E12" s="30">
        <v>5</v>
      </c>
      <c r="F12" s="30">
        <v>6</v>
      </c>
      <c r="G12" s="30">
        <v>7</v>
      </c>
      <c r="H12" s="30">
        <v>8</v>
      </c>
      <c r="I12" s="30">
        <v>9</v>
      </c>
      <c r="J12" s="31">
        <v>10</v>
      </c>
      <c r="K12" s="30">
        <v>11</v>
      </c>
      <c r="L12" s="31">
        <v>12</v>
      </c>
      <c r="M12" s="30">
        <v>13</v>
      </c>
      <c r="N12" s="31">
        <v>14</v>
      </c>
      <c r="O12" s="32">
        <v>15</v>
      </c>
    </row>
    <row r="13" spans="1:55" s="25" customFormat="1" ht="24.75" thickTop="1">
      <c r="A13" s="106">
        <v>1</v>
      </c>
      <c r="B13" s="2" t="s">
        <v>292</v>
      </c>
      <c r="C13" s="116" t="s">
        <v>14</v>
      </c>
      <c r="D13" s="9">
        <v>309.39999999999998</v>
      </c>
      <c r="E13" s="9"/>
      <c r="F13" s="33"/>
      <c r="G13" s="4"/>
      <c r="H13" s="34"/>
      <c r="I13" s="4"/>
      <c r="J13" s="4"/>
      <c r="K13" s="4"/>
      <c r="L13" s="4"/>
      <c r="M13" s="4"/>
      <c r="N13" s="4"/>
      <c r="O13" s="20"/>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row>
    <row r="14" spans="1:55" s="25" customFormat="1" ht="14.25">
      <c r="A14" s="106">
        <f t="shared" ref="A14:A63" si="0">A13+1</f>
        <v>2</v>
      </c>
      <c r="B14" s="2" t="s">
        <v>1034</v>
      </c>
      <c r="C14" s="116" t="s">
        <v>14</v>
      </c>
      <c r="D14" s="14">
        <f>D13</f>
        <v>309.39999999999998</v>
      </c>
      <c r="E14" s="132"/>
      <c r="F14" s="4"/>
      <c r="G14" s="4"/>
      <c r="H14" s="34"/>
      <c r="I14" s="4"/>
      <c r="J14" s="337"/>
      <c r="K14" s="338"/>
      <c r="L14" s="338"/>
      <c r="M14" s="338"/>
      <c r="N14" s="338"/>
      <c r="O14" s="339"/>
    </row>
    <row r="15" spans="1:55" s="25" customFormat="1" ht="14.25">
      <c r="A15" s="19" t="s">
        <v>1372</v>
      </c>
      <c r="B15" s="24" t="s">
        <v>82</v>
      </c>
      <c r="C15" s="128" t="s">
        <v>149</v>
      </c>
      <c r="D15" s="9">
        <f>ROUND(D14*18/1000,2)</f>
        <v>5.57</v>
      </c>
      <c r="E15" s="36"/>
      <c r="F15" s="36"/>
      <c r="G15" s="33"/>
      <c r="H15" s="4"/>
      <c r="I15" s="4"/>
      <c r="J15" s="337"/>
      <c r="K15" s="338"/>
      <c r="L15" s="338"/>
      <c r="M15" s="338"/>
      <c r="N15" s="338"/>
      <c r="O15" s="339"/>
    </row>
    <row r="16" spans="1:55" s="25" customFormat="1" ht="14.25">
      <c r="A16" s="19" t="s">
        <v>1373</v>
      </c>
      <c r="B16" s="24" t="s">
        <v>144</v>
      </c>
      <c r="C16" s="13" t="s">
        <v>81</v>
      </c>
      <c r="D16" s="224">
        <f>ROUND(D14*0.06,1)</f>
        <v>18.600000000000001</v>
      </c>
      <c r="E16" s="36"/>
      <c r="F16" s="36"/>
      <c r="G16" s="33"/>
      <c r="H16" s="4"/>
      <c r="I16" s="4"/>
      <c r="J16" s="337"/>
      <c r="K16" s="338"/>
      <c r="L16" s="338"/>
      <c r="M16" s="338"/>
      <c r="N16" s="338"/>
      <c r="O16" s="339"/>
    </row>
    <row r="17" spans="1:55" s="25" customFormat="1" ht="14.25">
      <c r="A17" s="19" t="s">
        <v>1374</v>
      </c>
      <c r="B17" s="24" t="s">
        <v>150</v>
      </c>
      <c r="C17" s="13" t="s">
        <v>42</v>
      </c>
      <c r="D17" s="249">
        <f>ROUND(D14*2.2*2,1)</f>
        <v>1361.4</v>
      </c>
      <c r="E17" s="36"/>
      <c r="F17" s="36"/>
      <c r="G17" s="33"/>
      <c r="H17" s="4"/>
      <c r="I17" s="4"/>
      <c r="J17" s="337"/>
      <c r="K17" s="338"/>
      <c r="L17" s="338"/>
      <c r="M17" s="338"/>
      <c r="N17" s="338"/>
      <c r="O17" s="339"/>
    </row>
    <row r="18" spans="1:55" s="25" customFormat="1" ht="14.25">
      <c r="A18" s="19" t="s">
        <v>1375</v>
      </c>
      <c r="B18" s="24" t="s">
        <v>151</v>
      </c>
      <c r="C18" s="13" t="s">
        <v>42</v>
      </c>
      <c r="D18" s="14">
        <f>ROUND(D14*0.8*2,1)</f>
        <v>495</v>
      </c>
      <c r="E18" s="36"/>
      <c r="F18" s="36"/>
      <c r="G18" s="33"/>
      <c r="H18" s="4"/>
      <c r="I18" s="4"/>
      <c r="J18" s="337"/>
      <c r="K18" s="338"/>
      <c r="L18" s="338"/>
      <c r="M18" s="338"/>
      <c r="N18" s="338"/>
      <c r="O18" s="339"/>
    </row>
    <row r="19" spans="1:55" s="25" customFormat="1" ht="14.25">
      <c r="A19" s="19" t="s">
        <v>1501</v>
      </c>
      <c r="B19" s="24" t="s">
        <v>1035</v>
      </c>
      <c r="C19" s="13" t="s">
        <v>42</v>
      </c>
      <c r="D19" s="224">
        <f>ROUND(D14*0.7,1)</f>
        <v>216.6</v>
      </c>
      <c r="E19" s="36"/>
      <c r="F19" s="36"/>
      <c r="G19" s="33"/>
      <c r="H19" s="4"/>
      <c r="I19" s="4"/>
      <c r="J19" s="337"/>
      <c r="K19" s="338"/>
      <c r="L19" s="338"/>
      <c r="M19" s="338"/>
      <c r="N19" s="338"/>
      <c r="O19" s="339"/>
    </row>
    <row r="20" spans="1:55" s="25" customFormat="1" ht="14.25">
      <c r="A20" s="106">
        <v>3</v>
      </c>
      <c r="B20" s="49" t="s">
        <v>145</v>
      </c>
      <c r="C20" s="116" t="s">
        <v>14</v>
      </c>
      <c r="D20" s="9">
        <f>D13</f>
        <v>309.39999999999998</v>
      </c>
      <c r="E20" s="132"/>
      <c r="F20" s="4"/>
      <c r="G20" s="4"/>
      <c r="H20" s="151"/>
      <c r="I20" s="4"/>
      <c r="J20" s="337"/>
      <c r="K20" s="338"/>
      <c r="L20" s="338"/>
      <c r="M20" s="338"/>
      <c r="N20" s="338"/>
      <c r="O20" s="339"/>
    </row>
    <row r="21" spans="1:55" s="25" customFormat="1" ht="14.25">
      <c r="A21" s="19" t="s">
        <v>1376</v>
      </c>
      <c r="B21" s="24" t="s">
        <v>1036</v>
      </c>
      <c r="C21" s="13" t="s">
        <v>14</v>
      </c>
      <c r="D21" s="4">
        <f>ROUND(D20*1.05,2)</f>
        <v>324.87</v>
      </c>
      <c r="E21" s="36"/>
      <c r="F21" s="36"/>
      <c r="G21" s="33"/>
      <c r="H21" s="4"/>
      <c r="I21" s="4"/>
      <c r="J21" s="337"/>
      <c r="K21" s="338"/>
      <c r="L21" s="338"/>
      <c r="M21" s="338"/>
      <c r="N21" s="338"/>
      <c r="O21" s="339"/>
    </row>
    <row r="22" spans="1:55" s="25" customFormat="1" ht="14.25">
      <c r="A22" s="106">
        <v>4</v>
      </c>
      <c r="B22" s="173" t="s">
        <v>152</v>
      </c>
      <c r="C22" s="116" t="s">
        <v>14</v>
      </c>
      <c r="D22" s="9">
        <f>D20*2</f>
        <v>618.79999999999995</v>
      </c>
      <c r="E22" s="132"/>
      <c r="F22" s="4"/>
      <c r="G22" s="4"/>
      <c r="H22" s="151"/>
      <c r="I22" s="4"/>
      <c r="J22" s="337"/>
      <c r="K22" s="338"/>
      <c r="L22" s="338"/>
      <c r="M22" s="338"/>
      <c r="N22" s="338"/>
      <c r="O22" s="339"/>
    </row>
    <row r="23" spans="1:55" s="25" customFormat="1" ht="14.25">
      <c r="A23" s="19" t="s">
        <v>1419</v>
      </c>
      <c r="B23" s="24" t="s">
        <v>47</v>
      </c>
      <c r="C23" s="116" t="s">
        <v>14</v>
      </c>
      <c r="D23" s="4">
        <f>ROUND(D22*1.075*2-D24,2)</f>
        <v>1246.3499999999999</v>
      </c>
      <c r="E23" s="36"/>
      <c r="F23" s="36"/>
      <c r="G23" s="33"/>
      <c r="H23" s="4"/>
      <c r="I23" s="4"/>
      <c r="J23" s="337"/>
      <c r="K23" s="338"/>
      <c r="L23" s="338"/>
      <c r="M23" s="338"/>
      <c r="N23" s="338"/>
      <c r="O23" s="339"/>
    </row>
    <row r="24" spans="1:55" s="25" customFormat="1" ht="14.25">
      <c r="A24" s="19" t="s">
        <v>1420</v>
      </c>
      <c r="B24" s="24" t="s">
        <v>200</v>
      </c>
      <c r="C24" s="116" t="s">
        <v>14</v>
      </c>
      <c r="D24" s="4">
        <f>ROUND(78.2*1.075,2)</f>
        <v>84.07</v>
      </c>
      <c r="E24" s="36"/>
      <c r="F24" s="36"/>
      <c r="G24" s="33"/>
      <c r="H24" s="4"/>
      <c r="I24" s="4"/>
      <c r="J24" s="337"/>
      <c r="K24" s="338"/>
      <c r="L24" s="338"/>
      <c r="M24" s="338"/>
      <c r="N24" s="338"/>
      <c r="O24" s="339"/>
    </row>
    <row r="25" spans="1:55" s="25" customFormat="1" ht="14.25">
      <c r="A25" s="19" t="s">
        <v>1427</v>
      </c>
      <c r="B25" s="21" t="s">
        <v>1037</v>
      </c>
      <c r="C25" s="13" t="s">
        <v>29</v>
      </c>
      <c r="D25" s="10">
        <f>ROUND(D22*29*1.05*2,0)</f>
        <v>37685</v>
      </c>
      <c r="E25" s="9"/>
      <c r="F25" s="33"/>
      <c r="G25" s="4"/>
      <c r="H25" s="129"/>
      <c r="I25" s="4"/>
      <c r="J25" s="337"/>
      <c r="K25" s="338"/>
      <c r="L25" s="338"/>
      <c r="M25" s="338"/>
      <c r="N25" s="338"/>
      <c r="O25" s="339"/>
    </row>
    <row r="26" spans="1:55" s="25" customFormat="1" ht="14.25">
      <c r="A26" s="19" t="s">
        <v>1473</v>
      </c>
      <c r="B26" s="21" t="s">
        <v>1038</v>
      </c>
      <c r="C26" s="13" t="s">
        <v>29</v>
      </c>
      <c r="D26" s="10">
        <f>ROUND(D22*13*1.05*2,0)</f>
        <v>16893</v>
      </c>
      <c r="E26" s="9"/>
      <c r="F26" s="33"/>
      <c r="G26" s="4"/>
      <c r="H26" s="129"/>
      <c r="I26" s="4"/>
      <c r="J26" s="337"/>
      <c r="K26" s="338"/>
      <c r="L26" s="338"/>
      <c r="M26" s="338"/>
      <c r="N26" s="338"/>
      <c r="O26" s="339"/>
    </row>
    <row r="27" spans="1:55" s="25" customFormat="1" ht="14.25">
      <c r="A27" s="106">
        <v>5</v>
      </c>
      <c r="B27" s="110" t="s">
        <v>153</v>
      </c>
      <c r="C27" s="116" t="s">
        <v>14</v>
      </c>
      <c r="D27" s="9">
        <f>D22</f>
        <v>618.79999999999995</v>
      </c>
      <c r="E27" s="16"/>
      <c r="F27" s="4"/>
      <c r="G27" s="4"/>
      <c r="H27" s="151"/>
      <c r="I27" s="4"/>
      <c r="J27" s="337"/>
      <c r="K27" s="338"/>
      <c r="L27" s="338"/>
      <c r="M27" s="338"/>
      <c r="N27" s="338"/>
      <c r="O27" s="339"/>
    </row>
    <row r="28" spans="1:55" s="25" customFormat="1" ht="14.25">
      <c r="A28" s="19" t="s">
        <v>1369</v>
      </c>
      <c r="B28" s="24" t="s">
        <v>154</v>
      </c>
      <c r="C28" s="204" t="s">
        <v>40</v>
      </c>
      <c r="D28" s="9">
        <f>ROUND(D27*0.15,2)</f>
        <v>92.82</v>
      </c>
      <c r="E28" s="36"/>
      <c r="F28" s="36"/>
      <c r="G28" s="33"/>
      <c r="H28" s="4"/>
      <c r="I28" s="4"/>
      <c r="J28" s="337"/>
      <c r="K28" s="338"/>
      <c r="L28" s="338"/>
      <c r="M28" s="338"/>
      <c r="N28" s="338"/>
      <c r="O28" s="339"/>
    </row>
    <row r="29" spans="1:55" s="25" customFormat="1" ht="14.25">
      <c r="A29" s="19" t="s">
        <v>1379</v>
      </c>
      <c r="B29" s="24" t="s">
        <v>155</v>
      </c>
      <c r="C29" s="128" t="s">
        <v>83</v>
      </c>
      <c r="D29" s="9">
        <f>ROUND(D27*0.77,2)</f>
        <v>476.48</v>
      </c>
      <c r="E29" s="36"/>
      <c r="F29" s="36"/>
      <c r="G29" s="33"/>
      <c r="H29" s="11"/>
      <c r="I29" s="4"/>
      <c r="J29" s="337"/>
      <c r="K29" s="338"/>
      <c r="L29" s="338"/>
      <c r="M29" s="338"/>
      <c r="N29" s="338"/>
      <c r="O29" s="339"/>
    </row>
    <row r="30" spans="1:55" s="25" customFormat="1" ht="14.25">
      <c r="A30" s="19" t="s">
        <v>1380</v>
      </c>
      <c r="B30" s="24" t="s">
        <v>48</v>
      </c>
      <c r="C30" s="13" t="s">
        <v>42</v>
      </c>
      <c r="D30" s="14">
        <f>ROUND(D27*2,1)</f>
        <v>1237.5999999999999</v>
      </c>
      <c r="E30" s="36"/>
      <c r="F30" s="36"/>
      <c r="G30" s="33"/>
      <c r="H30" s="11"/>
      <c r="I30" s="4"/>
      <c r="J30" s="337"/>
      <c r="K30" s="338"/>
      <c r="L30" s="338"/>
      <c r="M30" s="338"/>
      <c r="N30" s="338"/>
      <c r="O30" s="339"/>
    </row>
    <row r="31" spans="1:55" s="25" customFormat="1" ht="24">
      <c r="A31" s="106">
        <v>6</v>
      </c>
      <c r="B31" s="2" t="s">
        <v>1039</v>
      </c>
      <c r="C31" s="116" t="s">
        <v>14</v>
      </c>
      <c r="D31" s="9">
        <v>37.299999999999997</v>
      </c>
      <c r="E31" s="9"/>
      <c r="F31" s="33"/>
      <c r="G31" s="4"/>
      <c r="H31" s="34"/>
      <c r="I31" s="4"/>
      <c r="J31" s="4"/>
      <c r="K31" s="4"/>
      <c r="L31" s="4"/>
      <c r="M31" s="4"/>
      <c r="N31" s="4"/>
      <c r="O31" s="20"/>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row>
    <row r="32" spans="1:55" s="25" customFormat="1" ht="14.25">
      <c r="A32" s="106">
        <f t="shared" si="0"/>
        <v>7</v>
      </c>
      <c r="B32" s="2" t="s">
        <v>167</v>
      </c>
      <c r="C32" s="116" t="s">
        <v>14</v>
      </c>
      <c r="D32" s="9">
        <f>D31</f>
        <v>37.299999999999997</v>
      </c>
      <c r="E32" s="132"/>
      <c r="F32" s="4"/>
      <c r="G32" s="4"/>
      <c r="H32" s="34"/>
      <c r="I32" s="4"/>
      <c r="J32" s="337"/>
      <c r="K32" s="338"/>
      <c r="L32" s="338"/>
      <c r="M32" s="338"/>
      <c r="N32" s="338"/>
      <c r="O32" s="339"/>
    </row>
    <row r="33" spans="1:53" s="25" customFormat="1" ht="14.25">
      <c r="A33" s="19" t="s">
        <v>268</v>
      </c>
      <c r="B33" s="24" t="s">
        <v>82</v>
      </c>
      <c r="C33" s="128" t="s">
        <v>149</v>
      </c>
      <c r="D33" s="9">
        <f>ROUND(D32*18/1000,2)</f>
        <v>0.67</v>
      </c>
      <c r="E33" s="36"/>
      <c r="F33" s="36"/>
      <c r="G33" s="33"/>
      <c r="H33" s="4"/>
      <c r="I33" s="4"/>
      <c r="J33" s="337"/>
      <c r="K33" s="338"/>
      <c r="L33" s="338"/>
      <c r="M33" s="338"/>
      <c r="N33" s="338"/>
      <c r="O33" s="339"/>
    </row>
    <row r="34" spans="1:53" s="25" customFormat="1" ht="14.25">
      <c r="A34" s="19" t="s">
        <v>269</v>
      </c>
      <c r="B34" s="24" t="s">
        <v>144</v>
      </c>
      <c r="C34" s="13" t="s">
        <v>81</v>
      </c>
      <c r="D34" s="224">
        <f>ROUND(D32*0.06,1)</f>
        <v>2.2000000000000002</v>
      </c>
      <c r="E34" s="36"/>
      <c r="F34" s="36"/>
      <c r="G34" s="33"/>
      <c r="H34" s="4"/>
      <c r="I34" s="4"/>
      <c r="J34" s="337"/>
      <c r="K34" s="338"/>
      <c r="L34" s="338"/>
      <c r="M34" s="338"/>
      <c r="N34" s="338"/>
      <c r="O34" s="339"/>
    </row>
    <row r="35" spans="1:53" s="25" customFormat="1" ht="14.25">
      <c r="A35" s="19" t="s">
        <v>270</v>
      </c>
      <c r="B35" s="24" t="s">
        <v>150</v>
      </c>
      <c r="C35" s="13" t="s">
        <v>42</v>
      </c>
      <c r="D35" s="249">
        <f>ROUND(D32*2.2*2,1)</f>
        <v>164.1</v>
      </c>
      <c r="E35" s="36"/>
      <c r="F35" s="36"/>
      <c r="G35" s="33"/>
      <c r="H35" s="4"/>
      <c r="I35" s="4"/>
      <c r="J35" s="337"/>
      <c r="K35" s="338"/>
      <c r="L35" s="338"/>
      <c r="M35" s="338"/>
      <c r="N35" s="338"/>
      <c r="O35" s="339"/>
    </row>
    <row r="36" spans="1:53" s="25" customFormat="1" ht="14.25">
      <c r="A36" s="19" t="s">
        <v>271</v>
      </c>
      <c r="B36" s="24" t="s">
        <v>151</v>
      </c>
      <c r="C36" s="13" t="s">
        <v>42</v>
      </c>
      <c r="D36" s="14">
        <f>D32*0.8*2</f>
        <v>59.68</v>
      </c>
      <c r="E36" s="36"/>
      <c r="F36" s="36"/>
      <c r="G36" s="33"/>
      <c r="H36" s="4"/>
      <c r="I36" s="4"/>
      <c r="J36" s="337"/>
      <c r="K36" s="338"/>
      <c r="L36" s="338"/>
      <c r="M36" s="338"/>
      <c r="N36" s="338"/>
      <c r="O36" s="339"/>
    </row>
    <row r="37" spans="1:53" s="25" customFormat="1" ht="14.25">
      <c r="A37" s="19" t="s">
        <v>272</v>
      </c>
      <c r="B37" s="24" t="s">
        <v>1040</v>
      </c>
      <c r="C37" s="13" t="s">
        <v>42</v>
      </c>
      <c r="D37" s="224">
        <f>ROUND(D32*0.7,1)</f>
        <v>26.1</v>
      </c>
      <c r="E37" s="36"/>
      <c r="F37" s="36"/>
      <c r="G37" s="33"/>
      <c r="H37" s="4"/>
      <c r="I37" s="4"/>
      <c r="J37" s="337"/>
      <c r="K37" s="338"/>
      <c r="L37" s="338"/>
      <c r="M37" s="338"/>
      <c r="N37" s="338"/>
      <c r="O37" s="339"/>
    </row>
    <row r="38" spans="1:53" s="25" customFormat="1" ht="14.25">
      <c r="A38" s="106">
        <v>8</v>
      </c>
      <c r="B38" s="49" t="s">
        <v>145</v>
      </c>
      <c r="C38" s="116" t="s">
        <v>14</v>
      </c>
      <c r="D38" s="9">
        <f>D31</f>
        <v>37.299999999999997</v>
      </c>
      <c r="E38" s="132"/>
      <c r="F38" s="4"/>
      <c r="G38" s="4"/>
      <c r="H38" s="151"/>
      <c r="I38" s="4"/>
      <c r="J38" s="337"/>
      <c r="K38" s="338"/>
      <c r="L38" s="338"/>
      <c r="M38" s="338"/>
      <c r="N38" s="338"/>
      <c r="O38" s="339"/>
    </row>
    <row r="39" spans="1:53" s="25" customFormat="1" ht="14.25">
      <c r="A39" s="19" t="s">
        <v>1474</v>
      </c>
      <c r="B39" s="24" t="s">
        <v>1041</v>
      </c>
      <c r="C39" s="13" t="s">
        <v>14</v>
      </c>
      <c r="D39" s="4">
        <f>ROUND(D38*1.05,2)</f>
        <v>39.17</v>
      </c>
      <c r="E39" s="36"/>
      <c r="F39" s="36"/>
      <c r="G39" s="33"/>
      <c r="H39" s="4"/>
      <c r="I39" s="4"/>
      <c r="J39" s="337"/>
      <c r="K39" s="338"/>
      <c r="L39" s="338"/>
      <c r="M39" s="338"/>
      <c r="N39" s="338"/>
      <c r="O39" s="339"/>
    </row>
    <row r="40" spans="1:53" s="25" customFormat="1" ht="14.25">
      <c r="A40" s="106">
        <v>9</v>
      </c>
      <c r="B40" s="173" t="s">
        <v>152</v>
      </c>
      <c r="C40" s="116" t="s">
        <v>14</v>
      </c>
      <c r="D40" s="9">
        <f>D38*2</f>
        <v>74.599999999999994</v>
      </c>
      <c r="E40" s="132"/>
      <c r="F40" s="4"/>
      <c r="G40" s="4"/>
      <c r="H40" s="151"/>
      <c r="I40" s="4"/>
      <c r="J40" s="337"/>
      <c r="K40" s="338"/>
      <c r="L40" s="338"/>
      <c r="M40" s="338"/>
      <c r="N40" s="338"/>
      <c r="O40" s="339"/>
    </row>
    <row r="41" spans="1:53" s="25" customFormat="1" ht="14.25">
      <c r="A41" s="19" t="s">
        <v>1386</v>
      </c>
      <c r="B41" s="24" t="s">
        <v>1042</v>
      </c>
      <c r="C41" s="116" t="s">
        <v>14</v>
      </c>
      <c r="D41" s="4">
        <f>ROUND(D40*1.075*2,2)</f>
        <v>160.38999999999999</v>
      </c>
      <c r="E41" s="36"/>
      <c r="F41" s="36"/>
      <c r="G41" s="33"/>
      <c r="H41" s="4"/>
      <c r="I41" s="4"/>
      <c r="J41" s="337"/>
      <c r="K41" s="338"/>
      <c r="L41" s="338"/>
      <c r="M41" s="338"/>
      <c r="N41" s="338"/>
      <c r="O41" s="339"/>
    </row>
    <row r="42" spans="1:53" s="25" customFormat="1" ht="14.25">
      <c r="A42" s="19" t="s">
        <v>1387</v>
      </c>
      <c r="B42" s="21" t="s">
        <v>1037</v>
      </c>
      <c r="C42" s="13" t="s">
        <v>29</v>
      </c>
      <c r="D42" s="10">
        <f>ROUND(D40*29*1.05*2,0)</f>
        <v>4543</v>
      </c>
      <c r="E42" s="9"/>
      <c r="F42" s="33"/>
      <c r="G42" s="4"/>
      <c r="H42" s="129"/>
      <c r="I42" s="4"/>
      <c r="J42" s="337"/>
      <c r="K42" s="338"/>
      <c r="L42" s="338"/>
      <c r="M42" s="338"/>
      <c r="N42" s="338"/>
      <c r="O42" s="339"/>
    </row>
    <row r="43" spans="1:53" s="25" customFormat="1" ht="14.25">
      <c r="A43" s="19" t="s">
        <v>1388</v>
      </c>
      <c r="B43" s="21" t="s">
        <v>1038</v>
      </c>
      <c r="C43" s="13" t="s">
        <v>29</v>
      </c>
      <c r="D43" s="10">
        <f>ROUND(D40*13*1.05*2,0)</f>
        <v>2037</v>
      </c>
      <c r="E43" s="9"/>
      <c r="F43" s="33"/>
      <c r="G43" s="4"/>
      <c r="H43" s="129"/>
      <c r="I43" s="4"/>
      <c r="J43" s="337"/>
      <c r="K43" s="338"/>
      <c r="L43" s="338"/>
      <c r="M43" s="338"/>
      <c r="N43" s="338"/>
      <c r="O43" s="339"/>
    </row>
    <row r="44" spans="1:53" s="25" customFormat="1" ht="14.25">
      <c r="A44" s="106">
        <v>10</v>
      </c>
      <c r="B44" s="110" t="s">
        <v>153</v>
      </c>
      <c r="C44" s="116" t="s">
        <v>14</v>
      </c>
      <c r="D44" s="9">
        <f>D40</f>
        <v>74.599999999999994</v>
      </c>
      <c r="E44" s="16"/>
      <c r="F44" s="4"/>
      <c r="G44" s="4"/>
      <c r="H44" s="151"/>
      <c r="I44" s="4"/>
      <c r="J44" s="337"/>
      <c r="K44" s="338"/>
      <c r="L44" s="338"/>
      <c r="M44" s="338"/>
      <c r="N44" s="338"/>
      <c r="O44" s="339"/>
    </row>
    <row r="45" spans="1:53" s="25" customFormat="1" ht="14.25">
      <c r="A45" s="19" t="s">
        <v>1390</v>
      </c>
      <c r="B45" s="24" t="s">
        <v>154</v>
      </c>
      <c r="C45" s="204" t="s">
        <v>40</v>
      </c>
      <c r="D45" s="9">
        <f>ROUND(D44*0.15,2)</f>
        <v>11.19</v>
      </c>
      <c r="E45" s="36"/>
      <c r="F45" s="36"/>
      <c r="G45" s="33"/>
      <c r="H45" s="4"/>
      <c r="I45" s="4"/>
      <c r="J45" s="337"/>
      <c r="K45" s="338"/>
      <c r="L45" s="338"/>
      <c r="M45" s="338"/>
      <c r="N45" s="338"/>
      <c r="O45" s="339"/>
    </row>
    <row r="46" spans="1:53" s="25" customFormat="1" ht="14.25">
      <c r="A46" s="19" t="s">
        <v>1391</v>
      </c>
      <c r="B46" s="24" t="s">
        <v>155</v>
      </c>
      <c r="C46" s="128" t="s">
        <v>83</v>
      </c>
      <c r="D46" s="9">
        <f>ROUND(D44*0.77,2)</f>
        <v>57.44</v>
      </c>
      <c r="E46" s="36"/>
      <c r="F46" s="36"/>
      <c r="G46" s="33"/>
      <c r="H46" s="11"/>
      <c r="I46" s="4"/>
      <c r="J46" s="337"/>
      <c r="K46" s="338"/>
      <c r="L46" s="338"/>
      <c r="M46" s="338"/>
      <c r="N46" s="338"/>
      <c r="O46" s="339"/>
    </row>
    <row r="47" spans="1:53" s="25" customFormat="1" ht="14.25">
      <c r="A47" s="19" t="s">
        <v>1392</v>
      </c>
      <c r="B47" s="24" t="s">
        <v>48</v>
      </c>
      <c r="C47" s="13" t="s">
        <v>42</v>
      </c>
      <c r="D47" s="14">
        <f>ROUND(D44*2,1)</f>
        <v>149.19999999999999</v>
      </c>
      <c r="E47" s="36"/>
      <c r="F47" s="36"/>
      <c r="G47" s="33"/>
      <c r="H47" s="11"/>
      <c r="I47" s="4"/>
      <c r="J47" s="337"/>
      <c r="K47" s="338"/>
      <c r="L47" s="338"/>
      <c r="M47" s="338"/>
      <c r="N47" s="338"/>
      <c r="O47" s="339"/>
    </row>
    <row r="48" spans="1:53" s="25" customFormat="1" ht="14.25">
      <c r="A48" s="106">
        <v>11</v>
      </c>
      <c r="B48" s="49" t="s">
        <v>1043</v>
      </c>
      <c r="C48" s="13" t="s">
        <v>14</v>
      </c>
      <c r="D48" s="9">
        <v>268.2</v>
      </c>
      <c r="E48" s="40"/>
      <c r="F48" s="4"/>
      <c r="G48" s="4"/>
      <c r="H48" s="34"/>
      <c r="I48" s="4"/>
      <c r="J48" s="337"/>
      <c r="K48" s="338"/>
      <c r="L48" s="338"/>
      <c r="M48" s="338"/>
      <c r="N48" s="338"/>
      <c r="O48" s="339"/>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row>
    <row r="49" spans="1:55" s="25" customFormat="1" ht="14.25">
      <c r="A49" s="19" t="s">
        <v>1393</v>
      </c>
      <c r="B49" s="24" t="s">
        <v>82</v>
      </c>
      <c r="C49" s="234" t="s">
        <v>149</v>
      </c>
      <c r="D49" s="9">
        <f>ROUND(D52/3*2.2/1000,2)</f>
        <v>0.14000000000000001</v>
      </c>
      <c r="E49" s="33"/>
      <c r="F49" s="33"/>
      <c r="G49" s="4"/>
      <c r="H49" s="4"/>
      <c r="I49" s="4"/>
      <c r="J49" s="337"/>
      <c r="K49" s="338"/>
      <c r="L49" s="338"/>
      <c r="M49" s="338"/>
      <c r="N49" s="338"/>
      <c r="O49" s="339"/>
    </row>
    <row r="50" spans="1:55" s="25" customFormat="1" ht="14.25">
      <c r="A50" s="19" t="s">
        <v>1394</v>
      </c>
      <c r="B50" s="24" t="s">
        <v>144</v>
      </c>
      <c r="C50" s="13" t="s">
        <v>81</v>
      </c>
      <c r="D50" s="224">
        <f>ROUND(D48*0.06,1)</f>
        <v>16.100000000000001</v>
      </c>
      <c r="E50" s="33"/>
      <c r="F50" s="33"/>
      <c r="G50" s="4"/>
      <c r="H50" s="4"/>
      <c r="I50" s="4"/>
      <c r="J50" s="337"/>
      <c r="K50" s="338"/>
      <c r="L50" s="338"/>
      <c r="M50" s="338"/>
      <c r="N50" s="338"/>
      <c r="O50" s="339"/>
    </row>
    <row r="51" spans="1:55" s="25" customFormat="1" ht="14.25">
      <c r="A51" s="19" t="s">
        <v>1395</v>
      </c>
      <c r="B51" s="121" t="s">
        <v>238</v>
      </c>
      <c r="C51" s="13" t="s">
        <v>42</v>
      </c>
      <c r="D51" s="9">
        <f>ROUND(D48*2.9,1)</f>
        <v>777.8</v>
      </c>
      <c r="E51" s="33"/>
      <c r="F51" s="33"/>
      <c r="G51" s="4"/>
      <c r="H51" s="4"/>
      <c r="I51" s="4"/>
      <c r="J51" s="337"/>
      <c r="K51" s="338"/>
      <c r="L51" s="338"/>
      <c r="M51" s="338"/>
      <c r="N51" s="338"/>
      <c r="O51" s="339"/>
    </row>
    <row r="52" spans="1:55" s="25" customFormat="1" ht="14.25">
      <c r="A52" s="19" t="s">
        <v>1396</v>
      </c>
      <c r="B52" s="121" t="s">
        <v>239</v>
      </c>
      <c r="C52" s="13" t="s">
        <v>42</v>
      </c>
      <c r="D52" s="9">
        <f>ROUND(D48/3*2*1.1,1)</f>
        <v>196.7</v>
      </c>
      <c r="E52" s="33"/>
      <c r="F52" s="33"/>
      <c r="G52" s="4"/>
      <c r="H52" s="4"/>
      <c r="I52" s="4"/>
      <c r="J52" s="337"/>
      <c r="K52" s="338"/>
      <c r="L52" s="338"/>
      <c r="M52" s="338"/>
      <c r="N52" s="338"/>
      <c r="O52" s="339"/>
    </row>
    <row r="53" spans="1:55" s="25" customFormat="1" ht="14.25">
      <c r="A53" s="19" t="s">
        <v>1502</v>
      </c>
      <c r="B53" s="24" t="s">
        <v>1044</v>
      </c>
      <c r="C53" s="13" t="s">
        <v>42</v>
      </c>
      <c r="D53" s="224">
        <f>D51</f>
        <v>777.8</v>
      </c>
      <c r="E53" s="33"/>
      <c r="F53" s="33"/>
      <c r="G53" s="4"/>
      <c r="H53" s="11"/>
      <c r="I53" s="4"/>
      <c r="J53" s="337"/>
      <c r="K53" s="338"/>
      <c r="L53" s="338"/>
      <c r="M53" s="338"/>
      <c r="N53" s="338"/>
      <c r="O53" s="339"/>
    </row>
    <row r="54" spans="1:55" s="25" customFormat="1" ht="14.25">
      <c r="A54" s="19" t="s">
        <v>1503</v>
      </c>
      <c r="B54" s="24" t="s">
        <v>47</v>
      </c>
      <c r="C54" s="116" t="s">
        <v>14</v>
      </c>
      <c r="D54" s="4">
        <f>ROUND(D48*1.075*2,2)</f>
        <v>576.63</v>
      </c>
      <c r="E54" s="33"/>
      <c r="F54" s="4"/>
      <c r="G54" s="4"/>
      <c r="H54" s="4"/>
      <c r="I54" s="4"/>
      <c r="J54" s="337"/>
      <c r="K54" s="338"/>
      <c r="L54" s="338"/>
      <c r="M54" s="338"/>
      <c r="N54" s="338"/>
      <c r="O54" s="339"/>
    </row>
    <row r="55" spans="1:55" s="25" customFormat="1" ht="14.25">
      <c r="A55" s="19" t="s">
        <v>1504</v>
      </c>
      <c r="B55" s="21" t="s">
        <v>1037</v>
      </c>
      <c r="C55" s="13" t="s">
        <v>29</v>
      </c>
      <c r="D55" s="10">
        <f>ROUND(D48*25*1.05,0)</f>
        <v>7040</v>
      </c>
      <c r="E55" s="9"/>
      <c r="F55" s="33"/>
      <c r="G55" s="4"/>
      <c r="H55" s="129"/>
      <c r="I55" s="4"/>
      <c r="J55" s="337"/>
      <c r="K55" s="338"/>
      <c r="L55" s="338"/>
      <c r="M55" s="338"/>
      <c r="N55" s="338"/>
      <c r="O55" s="339"/>
    </row>
    <row r="56" spans="1:55" s="25" customFormat="1" ht="14.25">
      <c r="A56" s="19" t="s">
        <v>1505</v>
      </c>
      <c r="B56" s="21" t="s">
        <v>1038</v>
      </c>
      <c r="C56" s="13" t="s">
        <v>29</v>
      </c>
      <c r="D56" s="10">
        <f>ROUND(D48*7*1.05,0)</f>
        <v>1971</v>
      </c>
      <c r="E56" s="9"/>
      <c r="F56" s="33"/>
      <c r="G56" s="4"/>
      <c r="H56" s="129"/>
      <c r="I56" s="4"/>
      <c r="J56" s="337"/>
      <c r="K56" s="338"/>
      <c r="L56" s="338"/>
      <c r="M56" s="338"/>
      <c r="N56" s="338"/>
      <c r="O56" s="339"/>
    </row>
    <row r="57" spans="1:55" s="25" customFormat="1" ht="14.25">
      <c r="A57" s="19" t="s">
        <v>1506</v>
      </c>
      <c r="B57" s="24" t="s">
        <v>1045</v>
      </c>
      <c r="C57" s="204" t="s">
        <v>40</v>
      </c>
      <c r="D57" s="9">
        <f>ROUND(D48*0.15,2)</f>
        <v>40.229999999999997</v>
      </c>
      <c r="E57" s="33"/>
      <c r="F57" s="33"/>
      <c r="G57" s="4"/>
      <c r="H57" s="4"/>
      <c r="I57" s="4"/>
      <c r="J57" s="337"/>
      <c r="K57" s="338"/>
      <c r="L57" s="338"/>
      <c r="M57" s="338"/>
      <c r="N57" s="338"/>
      <c r="O57" s="339"/>
    </row>
    <row r="58" spans="1:55" s="25" customFormat="1" ht="14.25">
      <c r="A58" s="19" t="s">
        <v>1507</v>
      </c>
      <c r="B58" s="24" t="s">
        <v>48</v>
      </c>
      <c r="C58" s="13" t="s">
        <v>42</v>
      </c>
      <c r="D58" s="249">
        <f>ROUND(D48*1.2*1.05,1)</f>
        <v>337.9</v>
      </c>
      <c r="E58" s="33"/>
      <c r="F58" s="33"/>
      <c r="G58" s="4"/>
      <c r="H58" s="11"/>
      <c r="I58" s="4"/>
      <c r="J58" s="337"/>
      <c r="K58" s="338"/>
      <c r="L58" s="338"/>
      <c r="M58" s="338"/>
      <c r="N58" s="338"/>
      <c r="O58" s="339"/>
    </row>
    <row r="59" spans="1:55" s="25" customFormat="1" ht="14.25">
      <c r="A59" s="19" t="s">
        <v>1508</v>
      </c>
      <c r="B59" s="24" t="s">
        <v>155</v>
      </c>
      <c r="C59" s="234" t="s">
        <v>83</v>
      </c>
      <c r="D59" s="9">
        <f>ROUND(D48*0.6,2)</f>
        <v>160.91999999999999</v>
      </c>
      <c r="E59" s="33"/>
      <c r="F59" s="33"/>
      <c r="G59" s="4"/>
      <c r="H59" s="11"/>
      <c r="I59" s="4"/>
      <c r="J59" s="337"/>
      <c r="K59" s="338"/>
      <c r="L59" s="338"/>
      <c r="M59" s="338"/>
      <c r="N59" s="338"/>
      <c r="O59" s="339"/>
    </row>
    <row r="60" spans="1:55" s="25" customFormat="1" ht="14.25">
      <c r="A60" s="106">
        <v>12</v>
      </c>
      <c r="B60" s="311" t="s">
        <v>145</v>
      </c>
      <c r="C60" s="116" t="s">
        <v>14</v>
      </c>
      <c r="D60" s="9">
        <f>D48</f>
        <v>268.2</v>
      </c>
      <c r="E60" s="132"/>
      <c r="F60" s="4"/>
      <c r="G60" s="4"/>
      <c r="H60" s="151"/>
      <c r="I60" s="4"/>
      <c r="J60" s="337"/>
      <c r="K60" s="338"/>
      <c r="L60" s="338"/>
      <c r="M60" s="338"/>
      <c r="N60" s="338"/>
      <c r="O60" s="339"/>
    </row>
    <row r="61" spans="1:55" s="25" customFormat="1" ht="14.25">
      <c r="A61" s="19" t="s">
        <v>1397</v>
      </c>
      <c r="B61" s="191" t="s">
        <v>1046</v>
      </c>
      <c r="C61" s="99" t="s">
        <v>14</v>
      </c>
      <c r="D61" s="4">
        <f>ROUND(D60*1.05,2)</f>
        <v>281.61</v>
      </c>
      <c r="E61" s="36"/>
      <c r="F61" s="36"/>
      <c r="G61" s="33"/>
      <c r="H61" s="4"/>
      <c r="I61" s="4"/>
      <c r="J61" s="337"/>
      <c r="K61" s="338"/>
      <c r="L61" s="338"/>
      <c r="M61" s="338"/>
      <c r="N61" s="338"/>
      <c r="O61" s="339"/>
    </row>
    <row r="62" spans="1:55" s="25" customFormat="1" ht="24">
      <c r="A62" s="106">
        <v>13</v>
      </c>
      <c r="B62" s="2" t="s">
        <v>1047</v>
      </c>
      <c r="C62" s="116" t="s">
        <v>14</v>
      </c>
      <c r="D62" s="9">
        <v>107.5</v>
      </c>
      <c r="E62" s="9"/>
      <c r="F62" s="33"/>
      <c r="G62" s="4"/>
      <c r="H62" s="34"/>
      <c r="I62" s="4"/>
      <c r="J62" s="4"/>
      <c r="K62" s="4"/>
      <c r="L62" s="4"/>
      <c r="M62" s="4"/>
      <c r="N62" s="4"/>
      <c r="O62" s="20"/>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row>
    <row r="63" spans="1:55" s="25" customFormat="1" ht="14.25">
      <c r="A63" s="106">
        <f t="shared" si="0"/>
        <v>14</v>
      </c>
      <c r="B63" s="2" t="s">
        <v>167</v>
      </c>
      <c r="C63" s="116" t="s">
        <v>14</v>
      </c>
      <c r="D63" s="9">
        <f>D62</f>
        <v>107.5</v>
      </c>
      <c r="E63" s="132"/>
      <c r="F63" s="4"/>
      <c r="G63" s="4"/>
      <c r="H63" s="34"/>
      <c r="I63" s="4"/>
      <c r="J63" s="337"/>
      <c r="K63" s="338"/>
      <c r="L63" s="338"/>
      <c r="M63" s="338"/>
      <c r="N63" s="338"/>
      <c r="O63" s="339"/>
    </row>
    <row r="64" spans="1:55" s="25" customFormat="1" ht="14.25">
      <c r="A64" s="19" t="s">
        <v>1402</v>
      </c>
      <c r="B64" s="24" t="s">
        <v>82</v>
      </c>
      <c r="C64" s="128" t="s">
        <v>149</v>
      </c>
      <c r="D64" s="9">
        <f>ROUND(D63*18/1000,2)</f>
        <v>1.94</v>
      </c>
      <c r="E64" s="36"/>
      <c r="F64" s="36"/>
      <c r="G64" s="33"/>
      <c r="H64" s="4"/>
      <c r="I64" s="4"/>
      <c r="J64" s="337"/>
      <c r="K64" s="338"/>
      <c r="L64" s="338"/>
      <c r="M64" s="338"/>
      <c r="N64" s="338"/>
      <c r="O64" s="339"/>
    </row>
    <row r="65" spans="1:23" s="25" customFormat="1" ht="14.25">
      <c r="A65" s="19" t="s">
        <v>1403</v>
      </c>
      <c r="B65" s="24" t="s">
        <v>144</v>
      </c>
      <c r="C65" s="13" t="s">
        <v>81</v>
      </c>
      <c r="D65" s="224">
        <f>ROUND(D63*0.06,1)</f>
        <v>6.5</v>
      </c>
      <c r="E65" s="36"/>
      <c r="F65" s="36"/>
      <c r="G65" s="33"/>
      <c r="H65" s="4"/>
      <c r="I65" s="4"/>
      <c r="J65" s="337"/>
      <c r="K65" s="338"/>
      <c r="L65" s="338"/>
      <c r="M65" s="338"/>
      <c r="N65" s="338"/>
      <c r="O65" s="339"/>
    </row>
    <row r="66" spans="1:23" s="25" customFormat="1" ht="14.25">
      <c r="A66" s="19" t="s">
        <v>1404</v>
      </c>
      <c r="B66" s="121" t="s">
        <v>238</v>
      </c>
      <c r="C66" s="13" t="s">
        <v>42</v>
      </c>
      <c r="D66" s="9">
        <f>ROUND(D62*2.9,1)</f>
        <v>311.8</v>
      </c>
      <c r="E66" s="36"/>
      <c r="F66" s="36"/>
      <c r="G66" s="33"/>
      <c r="H66" s="4"/>
      <c r="I66" s="4"/>
      <c r="J66" s="337"/>
      <c r="K66" s="338"/>
      <c r="L66" s="338"/>
      <c r="M66" s="338"/>
      <c r="N66" s="338"/>
      <c r="O66" s="339"/>
    </row>
    <row r="67" spans="1:23" s="25" customFormat="1" ht="14.25">
      <c r="A67" s="19" t="s">
        <v>1509</v>
      </c>
      <c r="B67" s="121" t="s">
        <v>239</v>
      </c>
      <c r="C67" s="13" t="s">
        <v>42</v>
      </c>
      <c r="D67" s="9">
        <f>ROUND(SQRT(D62)*4*1.1,1)</f>
        <v>45.6</v>
      </c>
      <c r="E67" s="36"/>
      <c r="F67" s="36"/>
      <c r="G67" s="33"/>
      <c r="H67" s="4"/>
      <c r="I67" s="4"/>
      <c r="J67" s="337"/>
      <c r="K67" s="338"/>
      <c r="L67" s="338"/>
      <c r="M67" s="338"/>
      <c r="N67" s="338"/>
      <c r="O67" s="339"/>
    </row>
    <row r="68" spans="1:23" s="25" customFormat="1" ht="14.25">
      <c r="A68" s="19" t="s">
        <v>1510</v>
      </c>
      <c r="B68" s="24" t="s">
        <v>1040</v>
      </c>
      <c r="C68" s="13" t="s">
        <v>42</v>
      </c>
      <c r="D68" s="224">
        <f>ROUND(D63*0.7,1)</f>
        <v>75.3</v>
      </c>
      <c r="E68" s="36"/>
      <c r="F68" s="36"/>
      <c r="G68" s="33"/>
      <c r="H68" s="4"/>
      <c r="I68" s="4"/>
      <c r="J68" s="337"/>
      <c r="K68" s="338"/>
      <c r="L68" s="338"/>
      <c r="M68" s="338"/>
      <c r="N68" s="338"/>
      <c r="O68" s="339"/>
    </row>
    <row r="69" spans="1:23" s="25" customFormat="1" ht="14.25">
      <c r="A69" s="106">
        <v>15</v>
      </c>
      <c r="B69" s="49" t="s">
        <v>145</v>
      </c>
      <c r="C69" s="116" t="s">
        <v>14</v>
      </c>
      <c r="D69" s="9">
        <f>D62</f>
        <v>107.5</v>
      </c>
      <c r="E69" s="132"/>
      <c r="F69" s="4"/>
      <c r="G69" s="4"/>
      <c r="H69" s="151"/>
      <c r="I69" s="4"/>
      <c r="J69" s="337"/>
      <c r="K69" s="338"/>
      <c r="L69" s="338"/>
      <c r="M69" s="338"/>
      <c r="N69" s="338"/>
      <c r="O69" s="339"/>
    </row>
    <row r="70" spans="1:23" s="25" customFormat="1" ht="14.25">
      <c r="A70" s="19" t="s">
        <v>1368</v>
      </c>
      <c r="B70" s="24" t="s">
        <v>1041</v>
      </c>
      <c r="C70" s="13" t="s">
        <v>14</v>
      </c>
      <c r="D70" s="4">
        <f>ROUND(D69*1.05,2)</f>
        <v>112.88</v>
      </c>
      <c r="E70" s="36"/>
      <c r="F70" s="36"/>
      <c r="G70" s="33"/>
      <c r="H70" s="4"/>
      <c r="I70" s="4"/>
      <c r="J70" s="337"/>
      <c r="K70" s="338"/>
      <c r="L70" s="338"/>
      <c r="M70" s="338"/>
      <c r="N70" s="338"/>
      <c r="O70" s="339"/>
    </row>
    <row r="71" spans="1:23" s="25" customFormat="1" ht="24">
      <c r="A71" s="106">
        <v>16</v>
      </c>
      <c r="B71" s="173" t="s">
        <v>1048</v>
      </c>
      <c r="C71" s="116" t="s">
        <v>14</v>
      </c>
      <c r="D71" s="9">
        <f>D69</f>
        <v>107.5</v>
      </c>
      <c r="E71" s="132"/>
      <c r="F71" s="4"/>
      <c r="G71" s="4"/>
      <c r="H71" s="151"/>
      <c r="I71" s="4"/>
      <c r="J71" s="337"/>
      <c r="K71" s="338"/>
      <c r="L71" s="338"/>
      <c r="M71" s="338"/>
      <c r="N71" s="338"/>
      <c r="O71" s="339"/>
    </row>
    <row r="72" spans="1:23" s="25" customFormat="1" ht="14.25">
      <c r="A72" s="19" t="s">
        <v>1405</v>
      </c>
      <c r="B72" s="24" t="s">
        <v>1049</v>
      </c>
      <c r="C72" s="116" t="s">
        <v>14</v>
      </c>
      <c r="D72" s="4">
        <f>ROUND(D71*1.15,2)</f>
        <v>123.63</v>
      </c>
      <c r="E72" s="36"/>
      <c r="F72" s="36"/>
      <c r="G72" s="33"/>
      <c r="H72" s="4"/>
      <c r="I72" s="4"/>
      <c r="J72" s="337"/>
      <c r="K72" s="338"/>
      <c r="L72" s="338"/>
      <c r="M72" s="338"/>
      <c r="N72" s="338"/>
      <c r="O72" s="339"/>
    </row>
    <row r="73" spans="1:23" s="25" customFormat="1" ht="24">
      <c r="A73" s="19" t="s">
        <v>1438</v>
      </c>
      <c r="B73" s="21" t="s">
        <v>1050</v>
      </c>
      <c r="C73" s="13" t="s">
        <v>29</v>
      </c>
      <c r="D73" s="10">
        <f>ROUND(D71*29*1.05,0)</f>
        <v>3273</v>
      </c>
      <c r="E73" s="9"/>
      <c r="F73" s="33"/>
      <c r="G73" s="4"/>
      <c r="H73" s="129"/>
      <c r="I73" s="4"/>
      <c r="J73" s="340"/>
      <c r="K73" s="338"/>
      <c r="L73" s="338"/>
      <c r="M73" s="338"/>
      <c r="N73" s="338"/>
      <c r="O73" s="339"/>
    </row>
    <row r="74" spans="1:23" s="25" customFormat="1" ht="15" thickBot="1">
      <c r="A74" s="19" t="s">
        <v>1439</v>
      </c>
      <c r="B74" s="24" t="s">
        <v>235</v>
      </c>
      <c r="C74" s="13" t="s">
        <v>30</v>
      </c>
      <c r="D74" s="10">
        <v>1</v>
      </c>
      <c r="E74" s="36"/>
      <c r="F74" s="36"/>
      <c r="G74" s="33"/>
      <c r="H74" s="4"/>
      <c r="I74" s="4"/>
      <c r="J74" s="337"/>
      <c r="K74" s="338"/>
      <c r="L74" s="338"/>
      <c r="M74" s="338"/>
      <c r="N74" s="338"/>
      <c r="O74" s="339"/>
    </row>
    <row r="75" spans="1:23" s="102" customFormat="1" ht="15.75" thickTop="1" thickBot="1">
      <c r="A75" s="181"/>
      <c r="B75" s="400" t="s">
        <v>1587</v>
      </c>
      <c r="C75" s="401"/>
      <c r="D75" s="401"/>
      <c r="E75" s="401"/>
      <c r="F75" s="401"/>
      <c r="G75" s="401"/>
      <c r="H75" s="401"/>
      <c r="I75" s="401"/>
      <c r="J75" s="402"/>
      <c r="K75" s="182"/>
      <c r="L75" s="182"/>
      <c r="M75" s="182"/>
      <c r="N75" s="182"/>
      <c r="O75" s="183"/>
      <c r="P75" s="25"/>
      <c r="Q75" s="25"/>
      <c r="R75" s="25"/>
      <c r="S75" s="25"/>
      <c r="T75" s="25"/>
      <c r="U75" s="25"/>
      <c r="V75" s="25"/>
      <c r="W75" s="25"/>
    </row>
    <row r="76" spans="1:23" s="102" customFormat="1" ht="15" thickTop="1">
      <c r="B76" s="200"/>
      <c r="P76" s="25"/>
      <c r="Q76" s="25"/>
      <c r="R76" s="25"/>
      <c r="S76" s="25"/>
      <c r="T76" s="25"/>
      <c r="U76" s="25"/>
      <c r="V76" s="25"/>
      <c r="W76" s="25"/>
    </row>
    <row r="77" spans="1:23" s="102" customFormat="1" ht="14.25">
      <c r="B77" s="184"/>
      <c r="P77" s="25"/>
      <c r="Q77" s="25"/>
      <c r="R77" s="25"/>
      <c r="S77" s="25"/>
      <c r="T77" s="25"/>
      <c r="U77" s="25"/>
      <c r="V77" s="25"/>
      <c r="W77" s="25"/>
    </row>
    <row r="78" spans="1:23" s="102" customFormat="1" ht="14.25">
      <c r="A78" s="117"/>
      <c r="B78" s="172" t="s">
        <v>209</v>
      </c>
      <c r="C78" s="117"/>
      <c r="D78" s="117"/>
      <c r="E78" s="117"/>
      <c r="F78" s="117"/>
      <c r="G78" s="117"/>
      <c r="H78" s="117"/>
      <c r="P78" s="25"/>
      <c r="Q78" s="25"/>
      <c r="R78" s="25"/>
      <c r="S78" s="25"/>
      <c r="T78" s="25"/>
      <c r="U78" s="25"/>
      <c r="V78" s="25"/>
      <c r="W78" s="25"/>
    </row>
    <row r="79" spans="1:23" s="102" customFormat="1" ht="9.75" customHeight="1">
      <c r="A79" s="117"/>
      <c r="B79" s="172"/>
      <c r="C79" s="117"/>
      <c r="D79" s="117"/>
      <c r="E79" s="117"/>
      <c r="F79" s="117"/>
      <c r="G79" s="117"/>
      <c r="H79" s="117"/>
      <c r="P79" s="25"/>
      <c r="Q79" s="25"/>
      <c r="R79" s="25"/>
      <c r="S79" s="25"/>
      <c r="T79" s="25"/>
      <c r="U79" s="25"/>
      <c r="V79" s="25"/>
      <c r="W79" s="25"/>
    </row>
    <row r="80" spans="1:23" s="102" customFormat="1" ht="14.25">
      <c r="B80" s="92">
        <f ca="1">TODAY()</f>
        <v>43206</v>
      </c>
      <c r="P80" s="25"/>
      <c r="Q80" s="25"/>
      <c r="R80" s="25"/>
      <c r="S80" s="25"/>
      <c r="T80" s="25"/>
      <c r="U80" s="25"/>
      <c r="V80" s="25"/>
      <c r="W80" s="25"/>
    </row>
    <row r="81" spans="1:23" s="102" customFormat="1" ht="9.75" customHeight="1">
      <c r="A81" s="27"/>
      <c r="B81" s="27"/>
      <c r="C81" s="27"/>
      <c r="D81" s="27"/>
      <c r="E81" s="27"/>
      <c r="F81" s="27"/>
      <c r="G81" s="27"/>
      <c r="H81" s="27"/>
      <c r="I81" s="27"/>
      <c r="J81" s="27"/>
      <c r="K81" s="27"/>
      <c r="L81" s="27"/>
      <c r="M81" s="27"/>
      <c r="N81" s="27"/>
      <c r="O81" s="27"/>
      <c r="P81" s="25"/>
      <c r="Q81" s="25"/>
      <c r="R81" s="25"/>
      <c r="S81" s="25"/>
      <c r="T81" s="25"/>
      <c r="U81" s="25"/>
      <c r="V81" s="25"/>
      <c r="W81" s="25"/>
    </row>
    <row r="82" spans="1:23" s="102" customFormat="1" ht="14.25">
      <c r="A82" s="27"/>
      <c r="B82" s="27"/>
      <c r="C82" s="27"/>
      <c r="D82" s="27"/>
      <c r="E82" s="27"/>
      <c r="F82" s="27"/>
      <c r="G82" s="27"/>
      <c r="H82" s="27"/>
      <c r="I82" s="27"/>
      <c r="J82" s="27"/>
      <c r="K82" s="27"/>
      <c r="L82" s="27"/>
      <c r="M82" s="27"/>
      <c r="N82" s="27"/>
      <c r="O82" s="27"/>
      <c r="P82" s="25"/>
      <c r="Q82" s="25"/>
      <c r="R82" s="25"/>
      <c r="S82" s="25"/>
      <c r="T82" s="25"/>
      <c r="U82" s="25"/>
      <c r="V82" s="25"/>
      <c r="W82" s="25"/>
    </row>
    <row r="83" spans="1:23" s="27" customFormat="1" ht="14.25">
      <c r="A83" s="15"/>
      <c r="B83" s="15"/>
      <c r="C83" s="15"/>
      <c r="D83" s="15"/>
      <c r="E83" s="15"/>
      <c r="F83" s="15"/>
      <c r="G83" s="15"/>
      <c r="H83" s="15"/>
      <c r="I83" s="15"/>
      <c r="J83" s="15"/>
      <c r="K83" s="15"/>
      <c r="L83" s="15"/>
      <c r="M83" s="15"/>
      <c r="N83" s="15"/>
      <c r="O83" s="15"/>
      <c r="P83" s="26"/>
      <c r="Q83" s="26"/>
      <c r="R83" s="26"/>
      <c r="S83" s="26"/>
      <c r="T83" s="26"/>
      <c r="U83" s="26"/>
      <c r="V83" s="26"/>
      <c r="W83" s="26"/>
    </row>
    <row r="84" spans="1:23" s="27" customFormat="1" ht="14.25">
      <c r="A84" s="15"/>
      <c r="B84" s="15"/>
      <c r="C84" s="15"/>
      <c r="D84" s="15"/>
      <c r="E84" s="15"/>
      <c r="F84" s="15"/>
      <c r="G84" s="15"/>
      <c r="H84" s="15"/>
      <c r="I84" s="15"/>
      <c r="J84" s="15"/>
      <c r="K84" s="15"/>
      <c r="L84" s="15"/>
      <c r="M84" s="15"/>
      <c r="N84" s="15"/>
      <c r="O84" s="15"/>
      <c r="P84" s="26"/>
      <c r="Q84" s="26"/>
      <c r="R84" s="26"/>
      <c r="S84" s="26"/>
      <c r="T84" s="26"/>
      <c r="U84" s="26"/>
      <c r="V84" s="26"/>
      <c r="W84" s="26"/>
    </row>
    <row r="85" spans="1:23">
      <c r="P85" s="28"/>
      <c r="Q85" s="28"/>
      <c r="R85" s="28"/>
      <c r="S85" s="28"/>
      <c r="T85" s="28"/>
      <c r="U85" s="28"/>
      <c r="V85" s="28"/>
      <c r="W85" s="28"/>
    </row>
    <row r="86" spans="1:23">
      <c r="P86" s="28"/>
      <c r="Q86" s="28"/>
      <c r="R86" s="28"/>
      <c r="S86" s="28"/>
      <c r="T86" s="28"/>
      <c r="U86" s="28"/>
      <c r="V86" s="28"/>
      <c r="W86" s="28"/>
    </row>
    <row r="87" spans="1:23">
      <c r="P87" s="28"/>
      <c r="Q87" s="28"/>
      <c r="R87" s="28"/>
      <c r="S87" s="28"/>
      <c r="T87" s="28"/>
      <c r="U87" s="28"/>
      <c r="V87" s="28"/>
      <c r="W87" s="28"/>
    </row>
    <row r="88" spans="1:23">
      <c r="P88" s="28"/>
      <c r="Q88" s="28"/>
      <c r="R88" s="28"/>
      <c r="S88" s="28"/>
      <c r="T88" s="28"/>
      <c r="U88" s="28"/>
      <c r="V88" s="28"/>
      <c r="W88" s="28"/>
    </row>
    <row r="89" spans="1:23">
      <c r="P89" s="28"/>
      <c r="Q89" s="28"/>
      <c r="R89" s="28"/>
      <c r="S89" s="28"/>
      <c r="T89" s="28"/>
      <c r="U89" s="28"/>
      <c r="V89" s="28"/>
      <c r="W89" s="28"/>
    </row>
    <row r="90" spans="1:23">
      <c r="P90" s="28"/>
      <c r="Q90" s="28"/>
      <c r="R90" s="28"/>
      <c r="S90" s="28"/>
      <c r="T90" s="28"/>
      <c r="U90" s="28"/>
      <c r="V90" s="28"/>
      <c r="W90" s="28"/>
    </row>
    <row r="91" spans="1:23">
      <c r="P91" s="28"/>
      <c r="Q91" s="28"/>
      <c r="R91" s="28"/>
      <c r="S91" s="28"/>
      <c r="T91" s="28"/>
      <c r="U91" s="28"/>
      <c r="V91" s="28"/>
      <c r="W91" s="28"/>
    </row>
    <row r="92" spans="1:23">
      <c r="P92" s="28"/>
      <c r="Q92" s="28"/>
      <c r="R92" s="28"/>
      <c r="S92" s="28"/>
      <c r="T92" s="28"/>
      <c r="U92" s="28"/>
      <c r="V92" s="28"/>
      <c r="W92" s="28"/>
    </row>
    <row r="93" spans="1:23">
      <c r="P93" s="28"/>
      <c r="Q93" s="28"/>
      <c r="R93" s="28"/>
      <c r="S93" s="28"/>
      <c r="T93" s="28"/>
      <c r="U93" s="28"/>
      <c r="V93" s="28"/>
      <c r="W93" s="28"/>
    </row>
    <row r="94" spans="1:23">
      <c r="P94" s="28"/>
      <c r="Q94" s="28"/>
      <c r="R94" s="28"/>
      <c r="S94" s="28"/>
      <c r="T94" s="28"/>
      <c r="U94" s="28"/>
      <c r="V94" s="28"/>
      <c r="W94" s="28"/>
    </row>
    <row r="95" spans="1:23">
      <c r="P95" s="28"/>
      <c r="Q95" s="28"/>
      <c r="R95" s="28"/>
      <c r="S95" s="28"/>
      <c r="T95" s="28"/>
      <c r="U95" s="28"/>
      <c r="V95" s="28"/>
      <c r="W95" s="28"/>
    </row>
    <row r="96" spans="1:23">
      <c r="P96" s="28"/>
      <c r="Q96" s="28"/>
      <c r="R96" s="28"/>
      <c r="S96" s="28"/>
      <c r="T96" s="28"/>
      <c r="U96" s="28"/>
      <c r="V96" s="28"/>
      <c r="W96" s="28"/>
    </row>
    <row r="97" spans="16:23">
      <c r="P97" s="28"/>
      <c r="Q97" s="28"/>
      <c r="R97" s="28"/>
      <c r="S97" s="28"/>
      <c r="T97" s="28"/>
      <c r="U97" s="28"/>
      <c r="V97" s="28"/>
      <c r="W97" s="28"/>
    </row>
    <row r="98" spans="16:23">
      <c r="P98" s="28"/>
      <c r="Q98" s="28"/>
      <c r="R98" s="28"/>
      <c r="S98" s="28"/>
      <c r="T98" s="28"/>
      <c r="U98" s="28"/>
      <c r="V98" s="28"/>
      <c r="W98" s="28"/>
    </row>
    <row r="99" spans="16:23">
      <c r="P99" s="28"/>
      <c r="Q99" s="28"/>
      <c r="R99" s="28"/>
      <c r="S99" s="28"/>
      <c r="T99" s="28"/>
      <c r="U99" s="28"/>
      <c r="V99" s="28"/>
      <c r="W99" s="28"/>
    </row>
    <row r="100" spans="16:23">
      <c r="P100" s="28"/>
      <c r="Q100" s="28"/>
      <c r="R100" s="28"/>
      <c r="S100" s="28"/>
      <c r="T100" s="28"/>
      <c r="U100" s="28"/>
      <c r="V100" s="28"/>
      <c r="W100" s="28"/>
    </row>
    <row r="101" spans="16:23">
      <c r="P101" s="28"/>
      <c r="Q101" s="28"/>
      <c r="R101" s="28"/>
      <c r="S101" s="28"/>
      <c r="T101" s="28"/>
      <c r="U101" s="28"/>
      <c r="V101" s="28"/>
      <c r="W101" s="28"/>
    </row>
    <row r="102" spans="16:23">
      <c r="P102" s="28"/>
      <c r="Q102" s="28"/>
      <c r="R102" s="28"/>
      <c r="S102" s="28"/>
      <c r="T102" s="28"/>
      <c r="U102" s="28"/>
      <c r="V102" s="28"/>
      <c r="W102" s="28"/>
    </row>
    <row r="103" spans="16:23">
      <c r="P103" s="28"/>
      <c r="Q103" s="28"/>
      <c r="R103" s="28"/>
      <c r="S103" s="28"/>
      <c r="T103" s="28"/>
      <c r="U103" s="28"/>
      <c r="V103" s="28"/>
      <c r="W103" s="28"/>
    </row>
    <row r="104" spans="16:23">
      <c r="P104" s="28"/>
      <c r="Q104" s="28"/>
      <c r="R104" s="28"/>
      <c r="S104" s="28"/>
      <c r="T104" s="28"/>
      <c r="U104" s="28"/>
      <c r="V104" s="28"/>
      <c r="W104" s="28"/>
    </row>
    <row r="105" spans="16:23">
      <c r="P105" s="28"/>
      <c r="Q105" s="28"/>
      <c r="R105" s="28"/>
      <c r="S105" s="28"/>
      <c r="T105" s="28"/>
      <c r="U105" s="28"/>
      <c r="V105" s="28"/>
      <c r="W105" s="28"/>
    </row>
    <row r="106" spans="16:23">
      <c r="P106" s="28"/>
      <c r="Q106" s="28"/>
      <c r="R106" s="28"/>
      <c r="S106" s="28"/>
      <c r="T106" s="28"/>
      <c r="U106" s="28"/>
      <c r="V106" s="28"/>
      <c r="W106" s="28"/>
    </row>
    <row r="107" spans="16:23">
      <c r="P107" s="28"/>
      <c r="Q107" s="28"/>
      <c r="R107" s="28"/>
      <c r="S107" s="28"/>
      <c r="T107" s="28"/>
      <c r="U107" s="28"/>
      <c r="V107" s="28"/>
      <c r="W107" s="28"/>
    </row>
    <row r="108" spans="16:23">
      <c r="P108" s="28"/>
      <c r="Q108" s="28"/>
      <c r="R108" s="28"/>
      <c r="S108" s="28"/>
      <c r="T108" s="28"/>
      <c r="U108" s="28"/>
      <c r="V108" s="28"/>
      <c r="W108" s="28"/>
    </row>
    <row r="109" spans="16:23">
      <c r="P109" s="28"/>
      <c r="Q109" s="28"/>
      <c r="R109" s="28"/>
      <c r="S109" s="28"/>
      <c r="T109" s="28"/>
      <c r="U109" s="28"/>
      <c r="V109" s="28"/>
      <c r="W109" s="28"/>
    </row>
    <row r="110" spans="16:23">
      <c r="P110" s="28"/>
      <c r="Q110" s="28"/>
      <c r="R110" s="28"/>
      <c r="S110" s="28"/>
      <c r="T110" s="28"/>
      <c r="U110" s="28"/>
      <c r="V110" s="28"/>
      <c r="W110" s="28"/>
    </row>
    <row r="111" spans="16:23">
      <c r="P111" s="28"/>
      <c r="Q111" s="28"/>
      <c r="R111" s="28"/>
      <c r="S111" s="28"/>
      <c r="T111" s="28"/>
      <c r="U111" s="28"/>
      <c r="V111" s="28"/>
      <c r="W111" s="28"/>
    </row>
    <row r="112" spans="16:23">
      <c r="P112" s="28"/>
      <c r="Q112" s="28"/>
      <c r="R112" s="28"/>
      <c r="S112" s="28"/>
      <c r="T112" s="28"/>
      <c r="U112" s="28"/>
      <c r="V112" s="28"/>
      <c r="W112" s="28"/>
    </row>
    <row r="113" spans="16:23">
      <c r="P113" s="28"/>
      <c r="Q113" s="28"/>
      <c r="R113" s="28"/>
      <c r="S113" s="28"/>
      <c r="T113" s="28"/>
      <c r="U113" s="28"/>
      <c r="V113" s="28"/>
      <c r="W113" s="28"/>
    </row>
    <row r="114" spans="16:23">
      <c r="P114" s="28"/>
      <c r="Q114" s="28"/>
      <c r="R114" s="28"/>
      <c r="S114" s="28"/>
      <c r="T114" s="28"/>
      <c r="U114" s="28"/>
      <c r="V114" s="28"/>
      <c r="W114" s="28"/>
    </row>
    <row r="115" spans="16:23">
      <c r="P115" s="28"/>
      <c r="Q115" s="28"/>
      <c r="R115" s="28"/>
      <c r="S115" s="28"/>
      <c r="T115" s="28"/>
      <c r="U115" s="28"/>
      <c r="V115" s="28"/>
      <c r="W115" s="28"/>
    </row>
    <row r="116" spans="16:23">
      <c r="P116" s="28"/>
      <c r="Q116" s="28"/>
      <c r="R116" s="28"/>
      <c r="S116" s="28"/>
      <c r="T116" s="28"/>
      <c r="U116" s="28"/>
      <c r="V116" s="28"/>
      <c r="W116" s="28"/>
    </row>
    <row r="117" spans="16:23">
      <c r="P117" s="28"/>
      <c r="Q117" s="28"/>
      <c r="R117" s="28"/>
      <c r="S117" s="28"/>
      <c r="T117" s="28"/>
      <c r="U117" s="28"/>
      <c r="V117" s="28"/>
      <c r="W117" s="28"/>
    </row>
    <row r="118" spans="16:23">
      <c r="P118" s="28"/>
      <c r="Q118" s="28"/>
      <c r="R118" s="28"/>
      <c r="S118" s="28"/>
      <c r="T118" s="28"/>
      <c r="U118" s="28"/>
      <c r="V118" s="28"/>
      <c r="W118" s="28"/>
    </row>
    <row r="119" spans="16:23">
      <c r="P119" s="28"/>
      <c r="Q119" s="28"/>
      <c r="R119" s="28"/>
      <c r="S119" s="28"/>
      <c r="T119" s="28"/>
      <c r="U119" s="28"/>
      <c r="V119" s="28"/>
      <c r="W119" s="28"/>
    </row>
    <row r="120" spans="16:23">
      <c r="P120" s="28"/>
      <c r="Q120" s="28"/>
      <c r="R120" s="28"/>
      <c r="S120" s="28"/>
      <c r="T120" s="28"/>
      <c r="U120" s="28"/>
      <c r="V120" s="28"/>
      <c r="W120" s="28"/>
    </row>
    <row r="121" spans="16:23">
      <c r="P121" s="28"/>
      <c r="Q121" s="28"/>
      <c r="R121" s="28"/>
      <c r="S121" s="28"/>
      <c r="T121" s="28"/>
      <c r="U121" s="28"/>
      <c r="V121" s="28"/>
      <c r="W121" s="28"/>
    </row>
    <row r="122" spans="16:23">
      <c r="P122" s="28"/>
      <c r="Q122" s="28"/>
      <c r="R122" s="28"/>
      <c r="S122" s="28"/>
      <c r="T122" s="28"/>
      <c r="U122" s="28"/>
      <c r="V122" s="28"/>
      <c r="W122" s="28"/>
    </row>
    <row r="123" spans="16:23">
      <c r="P123" s="28"/>
      <c r="Q123" s="28"/>
      <c r="R123" s="28"/>
      <c r="S123" s="28"/>
      <c r="T123" s="28"/>
      <c r="U123" s="28"/>
      <c r="V123" s="28"/>
      <c r="W123" s="28"/>
    </row>
    <row r="124" spans="16:23">
      <c r="P124" s="28"/>
      <c r="Q124" s="28"/>
      <c r="R124" s="28"/>
      <c r="S124" s="28"/>
      <c r="T124" s="28"/>
      <c r="U124" s="28"/>
      <c r="V124" s="28"/>
      <c r="W124" s="28"/>
    </row>
    <row r="125" spans="16:23">
      <c r="P125" s="28"/>
      <c r="Q125" s="28"/>
      <c r="R125" s="28"/>
      <c r="S125" s="28"/>
      <c r="T125" s="28"/>
      <c r="U125" s="28"/>
      <c r="V125" s="28"/>
      <c r="W125" s="28"/>
    </row>
    <row r="126" spans="16:23">
      <c r="P126" s="28"/>
      <c r="Q126" s="28"/>
      <c r="R126" s="28"/>
      <c r="S126" s="28"/>
      <c r="T126" s="28"/>
      <c r="U126" s="28"/>
      <c r="V126" s="28"/>
      <c r="W126" s="28"/>
    </row>
    <row r="127" spans="16:23">
      <c r="P127" s="28"/>
      <c r="Q127" s="28"/>
      <c r="R127" s="28"/>
      <c r="S127" s="28"/>
      <c r="T127" s="28"/>
      <c r="U127" s="28"/>
      <c r="V127" s="28"/>
      <c r="W127" s="28"/>
    </row>
    <row r="128" spans="16:23">
      <c r="P128" s="28"/>
      <c r="Q128" s="28"/>
      <c r="R128" s="28"/>
      <c r="S128" s="28"/>
      <c r="T128" s="28"/>
      <c r="U128" s="28"/>
      <c r="V128" s="28"/>
      <c r="W128" s="28"/>
    </row>
    <row r="129" spans="16:23">
      <c r="P129" s="28"/>
      <c r="Q129" s="28"/>
      <c r="R129" s="28"/>
      <c r="S129" s="28"/>
      <c r="T129" s="28"/>
      <c r="U129" s="28"/>
      <c r="V129" s="28"/>
      <c r="W129" s="28"/>
    </row>
    <row r="130" spans="16:23">
      <c r="P130" s="28"/>
      <c r="Q130" s="28"/>
      <c r="R130" s="28"/>
      <c r="S130" s="28"/>
      <c r="T130" s="28"/>
      <c r="U130" s="28"/>
      <c r="V130" s="28"/>
      <c r="W130" s="28"/>
    </row>
    <row r="131" spans="16:23">
      <c r="P131" s="28"/>
      <c r="Q131" s="28"/>
      <c r="R131" s="28"/>
      <c r="S131" s="28"/>
      <c r="T131" s="28"/>
      <c r="U131" s="28"/>
      <c r="V131" s="28"/>
      <c r="W131" s="28"/>
    </row>
    <row r="132" spans="16:23">
      <c r="P132" s="28"/>
      <c r="Q132" s="28"/>
      <c r="R132" s="28"/>
      <c r="S132" s="28"/>
      <c r="T132" s="28"/>
      <c r="U132" s="28"/>
      <c r="V132" s="28"/>
      <c r="W132" s="28"/>
    </row>
    <row r="133" spans="16:23">
      <c r="P133" s="28"/>
      <c r="Q133" s="28"/>
      <c r="R133" s="28"/>
      <c r="S133" s="28"/>
      <c r="T133" s="28"/>
      <c r="U133" s="28"/>
      <c r="V133" s="28"/>
      <c r="W133" s="28"/>
    </row>
    <row r="134" spans="16:23">
      <c r="P134" s="28"/>
      <c r="Q134" s="28"/>
      <c r="R134" s="28"/>
      <c r="S134" s="28"/>
      <c r="T134" s="28"/>
      <c r="U134" s="28"/>
      <c r="V134" s="28"/>
      <c r="W134" s="28"/>
    </row>
    <row r="135" spans="16:23">
      <c r="P135" s="28"/>
      <c r="Q135" s="28"/>
      <c r="R135" s="28"/>
      <c r="S135" s="28"/>
      <c r="T135" s="28"/>
      <c r="U135" s="28"/>
      <c r="V135" s="28"/>
      <c r="W135" s="28"/>
    </row>
    <row r="136" spans="16:23">
      <c r="P136" s="28"/>
      <c r="Q136" s="28"/>
      <c r="R136" s="28"/>
      <c r="S136" s="28"/>
      <c r="T136" s="28"/>
      <c r="U136" s="28"/>
      <c r="V136" s="28"/>
      <c r="W136" s="28"/>
    </row>
    <row r="137" spans="16:23">
      <c r="P137" s="28"/>
      <c r="Q137" s="28"/>
      <c r="R137" s="28"/>
      <c r="S137" s="28"/>
      <c r="T137" s="28"/>
      <c r="U137" s="28"/>
      <c r="V137" s="28"/>
      <c r="W137" s="28"/>
    </row>
    <row r="138" spans="16:23">
      <c r="P138" s="28"/>
      <c r="Q138" s="28"/>
      <c r="R138" s="28"/>
      <c r="S138" s="28"/>
      <c r="T138" s="28"/>
      <c r="U138" s="28"/>
      <c r="V138" s="28"/>
      <c r="W138" s="28"/>
    </row>
    <row r="139" spans="16:23">
      <c r="P139" s="28"/>
      <c r="Q139" s="28"/>
      <c r="R139" s="28"/>
      <c r="S139" s="28"/>
      <c r="T139" s="28"/>
      <c r="U139" s="28"/>
      <c r="V139" s="28"/>
      <c r="W139" s="28"/>
    </row>
    <row r="140" spans="16:23">
      <c r="P140" s="28"/>
      <c r="Q140" s="28"/>
      <c r="R140" s="28"/>
      <c r="S140" s="28"/>
      <c r="T140" s="28"/>
      <c r="U140" s="28"/>
      <c r="V140" s="28"/>
      <c r="W140" s="28"/>
    </row>
    <row r="141" spans="16:23">
      <c r="P141" s="28"/>
      <c r="Q141" s="28"/>
      <c r="R141" s="28"/>
      <c r="S141" s="28"/>
      <c r="T141" s="28"/>
      <c r="U141" s="28"/>
      <c r="V141" s="28"/>
      <c r="W141" s="28"/>
    </row>
    <row r="142" spans="16:23">
      <c r="P142" s="28"/>
      <c r="Q142" s="28"/>
      <c r="R142" s="28"/>
      <c r="S142" s="28"/>
      <c r="T142" s="28"/>
      <c r="U142" s="28"/>
      <c r="V142" s="28"/>
      <c r="W142" s="28"/>
    </row>
    <row r="143" spans="16:23">
      <c r="P143" s="28"/>
      <c r="Q143" s="28"/>
      <c r="R143" s="28"/>
      <c r="S143" s="28"/>
      <c r="T143" s="28"/>
      <c r="U143" s="28"/>
      <c r="V143" s="28"/>
      <c r="W143" s="28"/>
    </row>
    <row r="144" spans="16:23">
      <c r="P144" s="28"/>
      <c r="Q144" s="28"/>
      <c r="R144" s="28"/>
      <c r="S144" s="28"/>
      <c r="T144" s="28"/>
      <c r="U144" s="28"/>
      <c r="V144" s="28"/>
      <c r="W144" s="28"/>
    </row>
    <row r="145" spans="16:23">
      <c r="P145" s="28"/>
      <c r="Q145" s="28"/>
      <c r="R145" s="28"/>
      <c r="S145" s="28"/>
      <c r="T145" s="28"/>
      <c r="U145" s="28"/>
      <c r="V145" s="28"/>
      <c r="W145" s="28"/>
    </row>
    <row r="146" spans="16:23">
      <c r="P146" s="28"/>
      <c r="Q146" s="28"/>
      <c r="R146" s="28"/>
      <c r="S146" s="28"/>
      <c r="T146" s="28"/>
      <c r="U146" s="28"/>
      <c r="V146" s="28"/>
      <c r="W146" s="28"/>
    </row>
    <row r="147" spans="16:23">
      <c r="P147" s="28"/>
      <c r="Q147" s="28"/>
      <c r="R147" s="28"/>
      <c r="S147" s="28"/>
      <c r="T147" s="28"/>
      <c r="U147" s="28"/>
      <c r="V147" s="28"/>
      <c r="W147" s="28"/>
    </row>
    <row r="148" spans="16:23">
      <c r="P148" s="28"/>
      <c r="Q148" s="28"/>
      <c r="R148" s="28"/>
      <c r="S148" s="28"/>
      <c r="T148" s="28"/>
      <c r="U148" s="28"/>
      <c r="V148" s="28"/>
      <c r="W148" s="28"/>
    </row>
    <row r="149" spans="16:23">
      <c r="P149" s="28"/>
      <c r="Q149" s="28"/>
      <c r="R149" s="28"/>
      <c r="S149" s="28"/>
      <c r="T149" s="28"/>
      <c r="U149" s="28"/>
      <c r="V149" s="28"/>
      <c r="W149" s="28"/>
    </row>
    <row r="150" spans="16:23">
      <c r="P150" s="28"/>
      <c r="Q150" s="28"/>
      <c r="R150" s="28"/>
      <c r="S150" s="28"/>
      <c r="T150" s="28"/>
      <c r="U150" s="28"/>
      <c r="V150" s="28"/>
      <c r="W150" s="28"/>
    </row>
    <row r="151" spans="16:23">
      <c r="P151" s="28"/>
      <c r="Q151" s="28"/>
      <c r="R151" s="28"/>
      <c r="S151" s="28"/>
      <c r="T151" s="28"/>
      <c r="U151" s="28"/>
      <c r="V151" s="28"/>
      <c r="W151" s="28"/>
    </row>
    <row r="152" spans="16:23">
      <c r="P152" s="28"/>
      <c r="Q152" s="28"/>
      <c r="R152" s="28"/>
      <c r="S152" s="28"/>
      <c r="T152" s="28"/>
      <c r="U152" s="28"/>
      <c r="V152" s="28"/>
      <c r="W152" s="28"/>
    </row>
    <row r="153" spans="16:23">
      <c r="P153" s="28"/>
      <c r="Q153" s="28"/>
      <c r="R153" s="28"/>
      <c r="S153" s="28"/>
      <c r="T153" s="28"/>
      <c r="U153" s="28"/>
      <c r="V153" s="28"/>
      <c r="W153" s="28"/>
    </row>
    <row r="154" spans="16:23">
      <c r="P154" s="28"/>
      <c r="Q154" s="28"/>
      <c r="R154" s="28"/>
      <c r="S154" s="28"/>
      <c r="T154" s="28"/>
      <c r="U154" s="28"/>
      <c r="V154" s="28"/>
      <c r="W154" s="28"/>
    </row>
    <row r="155" spans="16:23">
      <c r="P155" s="28"/>
      <c r="Q155" s="28"/>
      <c r="R155" s="28"/>
      <c r="S155" s="28"/>
      <c r="T155" s="28"/>
      <c r="U155" s="28"/>
      <c r="V155" s="28"/>
      <c r="W155" s="28"/>
    </row>
    <row r="156" spans="16:23">
      <c r="P156" s="28"/>
      <c r="Q156" s="28"/>
      <c r="R156" s="28"/>
      <c r="S156" s="28"/>
      <c r="T156" s="28"/>
      <c r="U156" s="28"/>
      <c r="V156" s="28"/>
      <c r="W156" s="28"/>
    </row>
    <row r="157" spans="16:23">
      <c r="P157" s="28"/>
      <c r="Q157" s="28"/>
      <c r="R157" s="28"/>
      <c r="S157" s="28"/>
      <c r="T157" s="28"/>
      <c r="U157" s="28"/>
      <c r="V157" s="28"/>
      <c r="W157" s="28"/>
    </row>
    <row r="158" spans="16:23">
      <c r="P158" s="28"/>
      <c r="Q158" s="28"/>
      <c r="R158" s="28"/>
      <c r="S158" s="28"/>
      <c r="T158" s="28"/>
      <c r="U158" s="28"/>
      <c r="V158" s="28"/>
      <c r="W158" s="28"/>
    </row>
    <row r="159" spans="16:23">
      <c r="P159" s="28"/>
      <c r="Q159" s="28"/>
      <c r="R159" s="28"/>
      <c r="S159" s="28"/>
      <c r="T159" s="28"/>
      <c r="U159" s="28"/>
      <c r="V159" s="28"/>
      <c r="W159" s="28"/>
    </row>
    <row r="160" spans="16:23">
      <c r="P160" s="28"/>
      <c r="Q160" s="28"/>
      <c r="R160" s="28"/>
      <c r="S160" s="28"/>
      <c r="T160" s="28"/>
      <c r="U160" s="28"/>
      <c r="V160" s="28"/>
      <c r="W160" s="28"/>
    </row>
    <row r="161" spans="16:23">
      <c r="P161" s="28"/>
      <c r="Q161" s="28"/>
      <c r="R161" s="28"/>
      <c r="S161" s="28"/>
      <c r="T161" s="28"/>
      <c r="U161" s="28"/>
      <c r="V161" s="28"/>
      <c r="W161" s="28"/>
    </row>
    <row r="162" spans="16:23">
      <c r="P162" s="28"/>
      <c r="Q162" s="28"/>
      <c r="R162" s="28"/>
      <c r="S162" s="28"/>
      <c r="T162" s="28"/>
      <c r="U162" s="28"/>
      <c r="V162" s="28"/>
      <c r="W162" s="28"/>
    </row>
    <row r="163" spans="16:23">
      <c r="P163" s="28"/>
      <c r="Q163" s="28"/>
      <c r="R163" s="28"/>
      <c r="S163" s="28"/>
      <c r="T163" s="28"/>
      <c r="U163" s="28"/>
      <c r="V163" s="28"/>
      <c r="W163" s="28"/>
    </row>
    <row r="164" spans="16:23">
      <c r="P164" s="28"/>
      <c r="Q164" s="28"/>
      <c r="R164" s="28"/>
      <c r="S164" s="28"/>
      <c r="T164" s="28"/>
      <c r="U164" s="28"/>
      <c r="V164" s="28"/>
      <c r="W164" s="28"/>
    </row>
    <row r="165" spans="16:23">
      <c r="P165" s="28"/>
      <c r="Q165" s="28"/>
      <c r="R165" s="28"/>
      <c r="S165" s="28"/>
      <c r="T165" s="28"/>
      <c r="U165" s="28"/>
      <c r="V165" s="28"/>
      <c r="W165" s="28"/>
    </row>
    <row r="166" spans="16:23">
      <c r="P166" s="28"/>
      <c r="Q166" s="28"/>
      <c r="R166" s="28"/>
      <c r="S166" s="28"/>
      <c r="T166" s="28"/>
      <c r="U166" s="28"/>
      <c r="V166" s="28"/>
      <c r="W166" s="28"/>
    </row>
    <row r="167" spans="16:23">
      <c r="P167" s="28"/>
      <c r="Q167" s="28"/>
      <c r="R167" s="28"/>
      <c r="S167" s="28"/>
      <c r="T167" s="28"/>
      <c r="U167" s="28"/>
      <c r="V167" s="28"/>
      <c r="W167" s="28"/>
    </row>
    <row r="168" spans="16:23">
      <c r="P168" s="28"/>
      <c r="Q168" s="28"/>
      <c r="R168" s="28"/>
      <c r="S168" s="28"/>
      <c r="T168" s="28"/>
      <c r="U168" s="28"/>
      <c r="V168" s="28"/>
      <c r="W168" s="28"/>
    </row>
    <row r="169" spans="16:23">
      <c r="P169" s="28"/>
      <c r="Q169" s="28"/>
      <c r="R169" s="28"/>
      <c r="S169" s="28"/>
      <c r="T169" s="28"/>
      <c r="U169" s="28"/>
      <c r="V169" s="28"/>
      <c r="W169" s="28"/>
    </row>
    <row r="170" spans="16:23">
      <c r="P170" s="28"/>
      <c r="Q170" s="28"/>
      <c r="R170" s="28"/>
      <c r="S170" s="28"/>
      <c r="T170" s="28"/>
      <c r="U170" s="28"/>
      <c r="V170" s="28"/>
      <c r="W170" s="28"/>
    </row>
    <row r="171" spans="16:23">
      <c r="P171" s="28"/>
      <c r="Q171" s="28"/>
      <c r="R171" s="28"/>
      <c r="S171" s="28"/>
      <c r="T171" s="28"/>
      <c r="U171" s="28"/>
      <c r="V171" s="28"/>
      <c r="W171" s="28"/>
    </row>
    <row r="172" spans="16:23">
      <c r="P172" s="28"/>
      <c r="Q172" s="28"/>
      <c r="R172" s="28"/>
      <c r="S172" s="28"/>
      <c r="T172" s="28"/>
      <c r="U172" s="28"/>
      <c r="V172" s="28"/>
      <c r="W172" s="28"/>
    </row>
  </sheetData>
  <mergeCells count="22">
    <mergeCell ref="B75:J75"/>
    <mergeCell ref="K8:K11"/>
    <mergeCell ref="L8:L11"/>
    <mergeCell ref="M8:M11"/>
    <mergeCell ref="N8:N11"/>
    <mergeCell ref="I8:I11"/>
    <mergeCell ref="O8:O1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s>
  <conditionalFormatting sqref="C26">
    <cfRule type="cellIs" dxfId="89" priority="29" stopIfTrue="1" operator="equal">
      <formula>0</formula>
    </cfRule>
    <cfRule type="expression" dxfId="88" priority="30" stopIfTrue="1">
      <formula>#DIV/0!</formula>
    </cfRule>
  </conditionalFormatting>
  <conditionalFormatting sqref="C25">
    <cfRule type="cellIs" dxfId="87" priority="31" stopIfTrue="1" operator="equal">
      <formula>0</formula>
    </cfRule>
    <cfRule type="expression" dxfId="86" priority="32" stopIfTrue="1">
      <formula>#DIV/0!</formula>
    </cfRule>
  </conditionalFormatting>
  <conditionalFormatting sqref="C43">
    <cfRule type="cellIs" dxfId="85" priority="25" stopIfTrue="1" operator="equal">
      <formula>0</formula>
    </cfRule>
    <cfRule type="expression" dxfId="84" priority="26" stopIfTrue="1">
      <formula>#DIV/0!</formula>
    </cfRule>
  </conditionalFormatting>
  <conditionalFormatting sqref="C42">
    <cfRule type="cellIs" dxfId="83" priority="27" stopIfTrue="1" operator="equal">
      <formula>0</formula>
    </cfRule>
    <cfRule type="expression" dxfId="82" priority="28" stopIfTrue="1">
      <formula>#DIV/0!</formula>
    </cfRule>
  </conditionalFormatting>
  <conditionalFormatting sqref="C54">
    <cfRule type="cellIs" dxfId="81" priority="9" stopIfTrue="1" operator="equal">
      <formula>0</formula>
    </cfRule>
    <cfRule type="expression" dxfId="80" priority="10" stopIfTrue="1">
      <formula>#DIV/0!</formula>
    </cfRule>
  </conditionalFormatting>
  <conditionalFormatting sqref="C57">
    <cfRule type="cellIs" dxfId="79" priority="11" stopIfTrue="1" operator="equal">
      <formula>0</formula>
    </cfRule>
    <cfRule type="expression" dxfId="78" priority="12" stopIfTrue="1">
      <formula>#DIV/0!</formula>
    </cfRule>
  </conditionalFormatting>
  <conditionalFormatting sqref="C58">
    <cfRule type="cellIs" dxfId="77" priority="17" stopIfTrue="1" operator="equal">
      <formula>0</formula>
    </cfRule>
    <cfRule type="expression" dxfId="76" priority="18" stopIfTrue="1">
      <formula>#DIV/0!</formula>
    </cfRule>
  </conditionalFormatting>
  <conditionalFormatting sqref="C49">
    <cfRule type="cellIs" dxfId="75" priority="15" stopIfTrue="1" operator="equal">
      <formula>0</formula>
    </cfRule>
    <cfRule type="expression" dxfId="74" priority="16" stopIfTrue="1">
      <formula>#DIV/0!</formula>
    </cfRule>
  </conditionalFormatting>
  <conditionalFormatting sqref="C59">
    <cfRule type="cellIs" dxfId="73" priority="23" stopIfTrue="1" operator="equal">
      <formula>0</formula>
    </cfRule>
    <cfRule type="expression" dxfId="72" priority="24" stopIfTrue="1">
      <formula>#DIV/0!</formula>
    </cfRule>
  </conditionalFormatting>
  <conditionalFormatting sqref="C56">
    <cfRule type="cellIs" dxfId="71" priority="19" stopIfTrue="1" operator="equal">
      <formula>0</formula>
    </cfRule>
    <cfRule type="expression" dxfId="70" priority="20" stopIfTrue="1">
      <formula>#DIV/0!</formula>
    </cfRule>
  </conditionalFormatting>
  <conditionalFormatting sqref="C55">
    <cfRule type="cellIs" dxfId="69" priority="21" stopIfTrue="1" operator="equal">
      <formula>0</formula>
    </cfRule>
    <cfRule type="expression" dxfId="68" priority="22" stopIfTrue="1">
      <formula>#DIV/0!</formula>
    </cfRule>
  </conditionalFormatting>
  <conditionalFormatting sqref="C53">
    <cfRule type="cellIs" dxfId="67" priority="13" stopIfTrue="1" operator="equal">
      <formula>0</formula>
    </cfRule>
    <cfRule type="expression" dxfId="66" priority="14" stopIfTrue="1">
      <formula>#DIV/0!</formula>
    </cfRule>
  </conditionalFormatting>
  <conditionalFormatting sqref="C60:C61">
    <cfRule type="cellIs" dxfId="65" priority="7" stopIfTrue="1" operator="equal">
      <formula>0</formula>
    </cfRule>
    <cfRule type="expression" dxfId="64" priority="8" stopIfTrue="1">
      <formula>#DIV/0!</formula>
    </cfRule>
  </conditionalFormatting>
  <conditionalFormatting sqref="C73">
    <cfRule type="cellIs" dxfId="63" priority="5" stopIfTrue="1" operator="equal">
      <formula>0</formula>
    </cfRule>
    <cfRule type="expression" dxfId="62" priority="6" stopIfTrue="1">
      <formula>#DIV/0!</formula>
    </cfRule>
  </conditionalFormatting>
  <conditionalFormatting sqref="C66:C67">
    <cfRule type="cellIs" dxfId="61" priority="3" stopIfTrue="1" operator="equal">
      <formula>0</formula>
    </cfRule>
    <cfRule type="expression" dxfId="60" priority="4" stopIfTrue="1">
      <formula>#DIV/0!</formula>
    </cfRule>
  </conditionalFormatting>
  <conditionalFormatting sqref="C51:C52">
    <cfRule type="cellIs" dxfId="59" priority="1" stopIfTrue="1" operator="equal">
      <formula>0</formula>
    </cfRule>
    <cfRule type="expression" dxfId="58" priority="2" stopIfTrue="1">
      <formula>#DIV/0!</formula>
    </cfRule>
  </conditionalFormatting>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69"/>
  <sheetViews>
    <sheetView topLeftCell="A7" zoomScaleNormal="100" workbookViewId="0">
      <selection activeCell="B31" sqref="B31:J31"/>
    </sheetView>
  </sheetViews>
  <sheetFormatPr defaultColWidth="9.140625" defaultRowHeight="12.75"/>
  <cols>
    <col min="1" max="1" width="6.5703125" style="117" customWidth="1"/>
    <col min="2" max="2" width="35.5703125" style="117" customWidth="1"/>
    <col min="3" max="3" width="6.7109375" style="117" customWidth="1"/>
    <col min="4" max="4" width="7.140625" style="117" customWidth="1"/>
    <col min="5" max="10" width="9" style="117" customWidth="1"/>
    <col min="11" max="14" width="9.28515625" style="117" customWidth="1"/>
    <col min="15" max="15" width="12" style="117" customWidth="1"/>
    <col min="16" max="16" width="11.7109375" style="117" bestFit="1" customWidth="1"/>
    <col min="17" max="17" width="11.7109375" style="192" bestFit="1" customWidth="1"/>
    <col min="18" max="16384" width="9.140625" style="117"/>
  </cols>
  <sheetData>
    <row r="1" spans="1:17" s="102" customFormat="1" ht="14.25">
      <c r="A1" s="396" t="s">
        <v>334</v>
      </c>
      <c r="B1" s="396"/>
      <c r="C1" s="396"/>
      <c r="D1" s="396"/>
      <c r="E1" s="396"/>
      <c r="F1" s="396"/>
      <c r="G1" s="396"/>
      <c r="H1" s="396"/>
      <c r="I1" s="396"/>
      <c r="J1" s="396"/>
      <c r="K1" s="396"/>
      <c r="L1" s="396"/>
      <c r="M1" s="396"/>
      <c r="N1" s="396"/>
      <c r="O1" s="396"/>
      <c r="Q1" s="176"/>
    </row>
    <row r="2" spans="1:17" s="102" customFormat="1" ht="14.25">
      <c r="A2" s="397" t="str">
        <f>Kopsavilkums!C25</f>
        <v>Griesti</v>
      </c>
      <c r="B2" s="397"/>
      <c r="C2" s="397"/>
      <c r="D2" s="397"/>
      <c r="E2" s="397"/>
      <c r="F2" s="397"/>
      <c r="G2" s="397"/>
      <c r="H2" s="397"/>
      <c r="I2" s="397"/>
      <c r="J2" s="397"/>
      <c r="K2" s="397"/>
      <c r="L2" s="397"/>
      <c r="M2" s="397"/>
      <c r="N2" s="397"/>
      <c r="O2" s="397"/>
      <c r="Q2" s="176"/>
    </row>
    <row r="3" spans="1:17" s="102" customFormat="1" ht="14.25">
      <c r="A3" s="260"/>
      <c r="B3" s="260"/>
      <c r="C3" s="260"/>
      <c r="D3" s="260"/>
      <c r="E3" s="260"/>
      <c r="F3" s="260"/>
      <c r="G3" s="260"/>
      <c r="H3" s="260"/>
      <c r="I3" s="260"/>
      <c r="J3" s="260"/>
      <c r="K3" s="260"/>
      <c r="L3" s="260"/>
      <c r="M3" s="260"/>
      <c r="N3" s="260"/>
      <c r="O3" s="260"/>
      <c r="Q3" s="176"/>
    </row>
    <row r="4" spans="1:17" s="102" customFormat="1" ht="14.25">
      <c r="A4" s="115" t="s">
        <v>1246</v>
      </c>
      <c r="B4" s="177"/>
      <c r="C4" s="177"/>
      <c r="D4" s="177"/>
      <c r="E4" s="177"/>
      <c r="F4" s="177"/>
      <c r="G4" s="177"/>
      <c r="H4" s="177"/>
      <c r="I4" s="177"/>
      <c r="J4" s="177"/>
      <c r="K4" s="177"/>
      <c r="L4" s="177"/>
      <c r="M4" s="177"/>
      <c r="N4" s="177"/>
      <c r="O4" s="177"/>
      <c r="Q4" s="176"/>
    </row>
    <row r="5" spans="1:17" s="102" customFormat="1" ht="14.25">
      <c r="A5" s="115" t="s">
        <v>307</v>
      </c>
      <c r="B5" s="177"/>
      <c r="C5" s="177"/>
      <c r="D5" s="177"/>
      <c r="E5" s="177"/>
      <c r="F5" s="177"/>
      <c r="G5" s="177"/>
      <c r="H5" s="177"/>
      <c r="I5" s="177"/>
      <c r="J5" s="177"/>
      <c r="K5" s="177"/>
      <c r="L5" s="177"/>
      <c r="M5" s="177"/>
      <c r="N5" s="177"/>
      <c r="O5" s="177"/>
      <c r="Q5" s="176"/>
    </row>
    <row r="6" spans="1:17" s="102" customFormat="1" ht="14.25">
      <c r="A6" s="115" t="s">
        <v>306</v>
      </c>
      <c r="B6" s="177"/>
      <c r="C6" s="177"/>
      <c r="D6" s="177"/>
      <c r="E6" s="177"/>
      <c r="F6" s="177"/>
      <c r="G6" s="177"/>
      <c r="H6" s="177"/>
      <c r="I6" s="177"/>
      <c r="J6" s="177"/>
      <c r="K6" s="177"/>
      <c r="L6" s="177"/>
      <c r="M6" s="177"/>
      <c r="N6" s="177"/>
      <c r="O6" s="177"/>
      <c r="Q6" s="176"/>
    </row>
    <row r="7" spans="1:17" ht="13.5" thickBot="1">
      <c r="E7" s="133"/>
      <c r="F7" s="133"/>
      <c r="G7" s="133"/>
      <c r="H7" s="133"/>
      <c r="I7" s="133"/>
      <c r="J7" s="398" t="s">
        <v>13</v>
      </c>
      <c r="K7" s="398"/>
      <c r="L7" s="398"/>
      <c r="M7" s="398"/>
      <c r="N7" s="399" t="e">
        <f>#REF!</f>
        <v>#REF!</v>
      </c>
      <c r="O7" s="399"/>
    </row>
    <row r="8" spans="1:17" s="133" customFormat="1" ht="12.75" customHeight="1">
      <c r="A8" s="378" t="s">
        <v>27</v>
      </c>
      <c r="B8" s="381" t="s">
        <v>28</v>
      </c>
      <c r="C8" s="381" t="s">
        <v>17</v>
      </c>
      <c r="D8" s="381" t="s">
        <v>19</v>
      </c>
      <c r="E8" s="390" t="s">
        <v>15</v>
      </c>
      <c r="F8" s="391"/>
      <c r="G8" s="391"/>
      <c r="H8" s="391"/>
      <c r="I8" s="391"/>
      <c r="J8" s="392"/>
      <c r="K8" s="390" t="s">
        <v>16</v>
      </c>
      <c r="L8" s="391"/>
      <c r="M8" s="391"/>
      <c r="N8" s="391"/>
      <c r="O8" s="393"/>
      <c r="Q8" s="193"/>
    </row>
    <row r="9" spans="1:17" s="133" customFormat="1" ht="12.75" customHeight="1">
      <c r="A9" s="379"/>
      <c r="B9" s="382"/>
      <c r="C9" s="382"/>
      <c r="D9" s="382"/>
      <c r="E9" s="394" t="s">
        <v>18</v>
      </c>
      <c r="F9" s="375" t="s">
        <v>119</v>
      </c>
      <c r="G9" s="375" t="s">
        <v>120</v>
      </c>
      <c r="H9" s="375" t="s">
        <v>121</v>
      </c>
      <c r="I9" s="375" t="s">
        <v>122</v>
      </c>
      <c r="J9" s="372" t="s">
        <v>125</v>
      </c>
      <c r="K9" s="375" t="s">
        <v>20</v>
      </c>
      <c r="L9" s="375" t="s">
        <v>123</v>
      </c>
      <c r="M9" s="375" t="s">
        <v>121</v>
      </c>
      <c r="N9" s="375" t="s">
        <v>122</v>
      </c>
      <c r="O9" s="384" t="s">
        <v>124</v>
      </c>
      <c r="Q9" s="193"/>
    </row>
    <row r="10" spans="1:17" s="133" customFormat="1">
      <c r="A10" s="379"/>
      <c r="B10" s="382"/>
      <c r="C10" s="382"/>
      <c r="D10" s="382"/>
      <c r="E10" s="394"/>
      <c r="F10" s="376"/>
      <c r="G10" s="376"/>
      <c r="H10" s="376"/>
      <c r="I10" s="376"/>
      <c r="J10" s="373"/>
      <c r="K10" s="376"/>
      <c r="L10" s="376"/>
      <c r="M10" s="376"/>
      <c r="N10" s="376"/>
      <c r="O10" s="385"/>
      <c r="Q10" s="193"/>
    </row>
    <row r="11" spans="1:17" s="133" customFormat="1">
      <c r="A11" s="379"/>
      <c r="B11" s="382"/>
      <c r="C11" s="382"/>
      <c r="D11" s="382"/>
      <c r="E11" s="394"/>
      <c r="F11" s="376"/>
      <c r="G11" s="376"/>
      <c r="H11" s="376"/>
      <c r="I11" s="376"/>
      <c r="J11" s="373"/>
      <c r="K11" s="376"/>
      <c r="L11" s="376"/>
      <c r="M11" s="376"/>
      <c r="N11" s="376"/>
      <c r="O11" s="385"/>
      <c r="Q11" s="193"/>
    </row>
    <row r="12" spans="1:17" s="133" customFormat="1" ht="13.5" thickBot="1">
      <c r="A12" s="380"/>
      <c r="B12" s="383"/>
      <c r="C12" s="383"/>
      <c r="D12" s="383"/>
      <c r="E12" s="395"/>
      <c r="F12" s="377"/>
      <c r="G12" s="377"/>
      <c r="H12" s="377"/>
      <c r="I12" s="377"/>
      <c r="J12" s="374"/>
      <c r="K12" s="377"/>
      <c r="L12" s="377"/>
      <c r="M12" s="377"/>
      <c r="N12" s="377"/>
      <c r="O12" s="386"/>
      <c r="Q12" s="193"/>
    </row>
    <row r="13" spans="1:17" s="133" customFormat="1" ht="14.25" thickTop="1" thickBot="1">
      <c r="A13" s="52">
        <v>1</v>
      </c>
      <c r="B13" s="53">
        <v>2</v>
      </c>
      <c r="C13" s="53">
        <v>3</v>
      </c>
      <c r="D13" s="53">
        <v>4</v>
      </c>
      <c r="E13" s="53">
        <v>5</v>
      </c>
      <c r="F13" s="53">
        <v>6</v>
      </c>
      <c r="G13" s="53">
        <v>7</v>
      </c>
      <c r="H13" s="53">
        <v>8</v>
      </c>
      <c r="I13" s="53">
        <v>9</v>
      </c>
      <c r="J13" s="54">
        <v>10</v>
      </c>
      <c r="K13" s="53">
        <v>11</v>
      </c>
      <c r="L13" s="54">
        <v>12</v>
      </c>
      <c r="M13" s="53">
        <v>13</v>
      </c>
      <c r="N13" s="54">
        <v>14</v>
      </c>
      <c r="O13" s="55">
        <v>15</v>
      </c>
      <c r="Q13" s="193"/>
    </row>
    <row r="14" spans="1:17" s="25" customFormat="1" ht="15" thickTop="1">
      <c r="A14" s="106"/>
      <c r="B14" s="180" t="s">
        <v>214</v>
      </c>
      <c r="C14" s="13"/>
      <c r="D14" s="9"/>
      <c r="E14" s="33"/>
      <c r="F14" s="33"/>
      <c r="G14" s="4"/>
      <c r="H14" s="4"/>
      <c r="I14" s="4"/>
      <c r="J14" s="4"/>
      <c r="K14" s="4"/>
      <c r="L14" s="4"/>
      <c r="M14" s="4"/>
      <c r="N14" s="4"/>
      <c r="O14" s="20"/>
      <c r="P14" s="117"/>
      <c r="Q14" s="117"/>
    </row>
    <row r="15" spans="1:17">
      <c r="A15" s="106">
        <f t="shared" ref="A15:A30" si="0">A14+1</f>
        <v>1</v>
      </c>
      <c r="B15" s="2" t="s">
        <v>237</v>
      </c>
      <c r="C15" s="116" t="s">
        <v>14</v>
      </c>
      <c r="D15" s="9">
        <v>11</v>
      </c>
      <c r="E15" s="33"/>
      <c r="F15" s="4"/>
      <c r="G15" s="4"/>
      <c r="H15" s="112"/>
      <c r="I15" s="112"/>
      <c r="J15" s="337"/>
      <c r="K15" s="338"/>
      <c r="L15" s="338"/>
      <c r="M15" s="338"/>
      <c r="N15" s="338"/>
      <c r="O15" s="339"/>
      <c r="Q15" s="117"/>
    </row>
    <row r="16" spans="1:17" s="25" customFormat="1" ht="14.25">
      <c r="A16" s="19" t="s">
        <v>72</v>
      </c>
      <c r="B16" s="227" t="s">
        <v>238</v>
      </c>
      <c r="C16" s="13" t="s">
        <v>42</v>
      </c>
      <c r="D16" s="9">
        <f>ROUND(D15*2.9,1)</f>
        <v>31.9</v>
      </c>
      <c r="E16" s="228"/>
      <c r="F16" s="4"/>
      <c r="G16" s="229"/>
      <c r="H16" s="4"/>
      <c r="I16" s="229"/>
      <c r="J16" s="337"/>
      <c r="K16" s="338"/>
      <c r="L16" s="338"/>
      <c r="M16" s="338"/>
      <c r="N16" s="338"/>
      <c r="O16" s="339"/>
      <c r="Q16" s="137"/>
    </row>
    <row r="17" spans="1:59" s="25" customFormat="1" ht="14.25">
      <c r="A17" s="19" t="s">
        <v>73</v>
      </c>
      <c r="B17" s="227" t="s">
        <v>239</v>
      </c>
      <c r="C17" s="13" t="s">
        <v>42</v>
      </c>
      <c r="D17" s="9">
        <f>ROUND(SQRT(D15)*4*1.1,1)</f>
        <v>14.6</v>
      </c>
      <c r="E17" s="228"/>
      <c r="F17" s="4"/>
      <c r="G17" s="229"/>
      <c r="H17" s="4"/>
      <c r="I17" s="229"/>
      <c r="J17" s="337"/>
      <c r="K17" s="338"/>
      <c r="L17" s="338"/>
      <c r="M17" s="338"/>
      <c r="N17" s="338"/>
      <c r="O17" s="339"/>
      <c r="Q17" s="137"/>
    </row>
    <row r="18" spans="1:59" s="25" customFormat="1" ht="14.25">
      <c r="A18" s="19" t="s">
        <v>1370</v>
      </c>
      <c r="B18" s="24" t="s">
        <v>240</v>
      </c>
      <c r="C18" s="13" t="s">
        <v>29</v>
      </c>
      <c r="D18" s="10">
        <f>ROUND(D16/3*1.1,0)</f>
        <v>12</v>
      </c>
      <c r="E18" s="36"/>
      <c r="F18" s="4"/>
      <c r="G18" s="4"/>
      <c r="H18" s="129"/>
      <c r="I18" s="4"/>
      <c r="J18" s="337"/>
      <c r="K18" s="338"/>
      <c r="L18" s="338"/>
      <c r="M18" s="338"/>
      <c r="N18" s="338"/>
      <c r="O18" s="339"/>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row>
    <row r="19" spans="1:59" s="25" customFormat="1" ht="14.25">
      <c r="A19" s="19" t="s">
        <v>1371</v>
      </c>
      <c r="B19" s="24" t="s">
        <v>241</v>
      </c>
      <c r="C19" s="13" t="s">
        <v>29</v>
      </c>
      <c r="D19" s="10">
        <f>ROUND(D15*1.2,0)</f>
        <v>13</v>
      </c>
      <c r="E19" s="36"/>
      <c r="F19" s="4"/>
      <c r="G19" s="4"/>
      <c r="H19" s="129"/>
      <c r="I19" s="4"/>
      <c r="J19" s="337"/>
      <c r="K19" s="338"/>
      <c r="L19" s="338"/>
      <c r="M19" s="338"/>
      <c r="N19" s="338"/>
      <c r="O19" s="339"/>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row>
    <row r="20" spans="1:59" s="25" customFormat="1" ht="14.25">
      <c r="A20" s="19" t="s">
        <v>1511</v>
      </c>
      <c r="B20" s="24" t="s">
        <v>241</v>
      </c>
      <c r="C20" s="13" t="s">
        <v>81</v>
      </c>
      <c r="D20" s="9">
        <f>ROUND(D17*3.5/100,2)</f>
        <v>0.51</v>
      </c>
      <c r="E20" s="36"/>
      <c r="F20" s="4"/>
      <c r="G20" s="4"/>
      <c r="H20" s="129"/>
      <c r="I20" s="4"/>
      <c r="J20" s="337"/>
      <c r="K20" s="338"/>
      <c r="L20" s="338"/>
      <c r="M20" s="338"/>
      <c r="N20" s="338"/>
      <c r="O20" s="339"/>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row>
    <row r="21" spans="1:59" s="25" customFormat="1" ht="14.25">
      <c r="A21" s="19" t="s">
        <v>1512</v>
      </c>
      <c r="B21" s="24" t="s">
        <v>82</v>
      </c>
      <c r="C21" s="13" t="s">
        <v>29</v>
      </c>
      <c r="D21" s="10">
        <f>ROUND(D15*1.9,0)</f>
        <v>21</v>
      </c>
      <c r="E21" s="36"/>
      <c r="F21" s="4"/>
      <c r="G21" s="4"/>
      <c r="H21" s="230"/>
      <c r="I21" s="4"/>
      <c r="J21" s="340"/>
      <c r="K21" s="338"/>
      <c r="L21" s="338"/>
      <c r="M21" s="338"/>
      <c r="N21" s="338"/>
      <c r="O21" s="339"/>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row>
    <row r="22" spans="1:59" s="25" customFormat="1" ht="14.25">
      <c r="A22" s="19" t="s">
        <v>1513</v>
      </c>
      <c r="B22" s="24" t="s">
        <v>242</v>
      </c>
      <c r="C22" s="13" t="s">
        <v>29</v>
      </c>
      <c r="D22" s="10">
        <f>D19</f>
        <v>13</v>
      </c>
      <c r="E22" s="36"/>
      <c r="F22" s="4"/>
      <c r="G22" s="4"/>
      <c r="H22" s="129"/>
      <c r="I22" s="4"/>
      <c r="J22" s="337"/>
      <c r="K22" s="338"/>
      <c r="L22" s="338"/>
      <c r="M22" s="338"/>
      <c r="N22" s="338"/>
      <c r="O22" s="339"/>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row>
    <row r="23" spans="1:59" s="25" customFormat="1" ht="14.25">
      <c r="A23" s="19" t="s">
        <v>1514</v>
      </c>
      <c r="B23" s="24" t="s">
        <v>243</v>
      </c>
      <c r="C23" s="13" t="s">
        <v>29</v>
      </c>
      <c r="D23" s="10">
        <f>D22</f>
        <v>13</v>
      </c>
      <c r="E23" s="36"/>
      <c r="F23" s="4"/>
      <c r="G23" s="4"/>
      <c r="H23" s="129"/>
      <c r="I23" s="4"/>
      <c r="J23" s="337"/>
      <c r="K23" s="338"/>
      <c r="L23" s="338"/>
      <c r="M23" s="338"/>
      <c r="N23" s="338"/>
      <c r="O23" s="339"/>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row>
    <row r="24" spans="1:59" s="25" customFormat="1" ht="14.25">
      <c r="A24" s="19" t="s">
        <v>1515</v>
      </c>
      <c r="B24" s="24" t="s">
        <v>200</v>
      </c>
      <c r="C24" s="116" t="s">
        <v>14</v>
      </c>
      <c r="D24" s="9">
        <f>ROUND(20.1*1.075,2)</f>
        <v>21.61</v>
      </c>
      <c r="E24" s="228"/>
      <c r="F24" s="4"/>
      <c r="G24" s="229"/>
      <c r="H24" s="4"/>
      <c r="I24" s="229"/>
      <c r="J24" s="337"/>
      <c r="K24" s="338"/>
      <c r="L24" s="338"/>
      <c r="M24" s="338"/>
      <c r="N24" s="338"/>
      <c r="O24" s="339"/>
      <c r="Q24" s="137"/>
    </row>
    <row r="25" spans="1:59" s="25" customFormat="1" ht="14.25">
      <c r="A25" s="19" t="s">
        <v>1516</v>
      </c>
      <c r="B25" s="24" t="s">
        <v>244</v>
      </c>
      <c r="C25" s="13" t="s">
        <v>29</v>
      </c>
      <c r="D25" s="10">
        <f>ROUND(D15*30,0)</f>
        <v>330</v>
      </c>
      <c r="E25" s="36"/>
      <c r="F25" s="4"/>
      <c r="G25" s="4"/>
      <c r="H25" s="129"/>
      <c r="I25" s="4"/>
      <c r="J25" s="340"/>
      <c r="K25" s="338"/>
      <c r="L25" s="338"/>
      <c r="M25" s="338"/>
      <c r="N25" s="338"/>
      <c r="O25" s="339"/>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row>
    <row r="26" spans="1:59" s="25" customFormat="1" ht="14.25">
      <c r="A26" s="19" t="s">
        <v>1517</v>
      </c>
      <c r="B26" s="24" t="s">
        <v>245</v>
      </c>
      <c r="C26" s="226" t="s">
        <v>40</v>
      </c>
      <c r="D26" s="9">
        <f>ROUND(D15*0.15*2,2)</f>
        <v>3.3</v>
      </c>
      <c r="E26" s="36"/>
      <c r="F26" s="4"/>
      <c r="G26" s="33"/>
      <c r="H26" s="4"/>
      <c r="I26" s="4"/>
      <c r="J26" s="337"/>
      <c r="K26" s="338"/>
      <c r="L26" s="338"/>
      <c r="M26" s="338"/>
      <c r="N26" s="338"/>
      <c r="O26" s="339"/>
    </row>
    <row r="27" spans="1:59" s="25" customFormat="1" ht="14.25">
      <c r="A27" s="19" t="s">
        <v>1518</v>
      </c>
      <c r="B27" s="24" t="s">
        <v>48</v>
      </c>
      <c r="C27" s="13" t="s">
        <v>42</v>
      </c>
      <c r="D27" s="9">
        <f>ROUND(D15*2.4,1)</f>
        <v>26.4</v>
      </c>
      <c r="E27" s="228"/>
      <c r="F27" s="4"/>
      <c r="G27" s="229"/>
      <c r="H27" s="11"/>
      <c r="I27" s="229"/>
      <c r="J27" s="337"/>
      <c r="K27" s="338"/>
      <c r="L27" s="338"/>
      <c r="M27" s="338"/>
      <c r="N27" s="338"/>
      <c r="O27" s="339"/>
      <c r="Q27" s="137"/>
    </row>
    <row r="28" spans="1:59" s="25" customFormat="1" ht="14.25">
      <c r="A28" s="19" t="s">
        <v>1519</v>
      </c>
      <c r="B28" s="24" t="s">
        <v>246</v>
      </c>
      <c r="C28" s="128" t="s">
        <v>83</v>
      </c>
      <c r="D28" s="9">
        <f>ROUND(20.1*0.77*2,1)</f>
        <v>31</v>
      </c>
      <c r="E28" s="228"/>
      <c r="F28" s="4"/>
      <c r="G28" s="229"/>
      <c r="H28" s="11"/>
      <c r="I28" s="229"/>
      <c r="J28" s="337"/>
      <c r="K28" s="338"/>
      <c r="L28" s="338"/>
      <c r="M28" s="338"/>
      <c r="N28" s="338"/>
      <c r="O28" s="339"/>
      <c r="Q28" s="137"/>
    </row>
    <row r="29" spans="1:59" s="124" customFormat="1" ht="14.25">
      <c r="A29" s="106">
        <v>2</v>
      </c>
      <c r="B29" s="158" t="s">
        <v>1247</v>
      </c>
      <c r="C29" s="116" t="s">
        <v>14</v>
      </c>
      <c r="D29" s="140">
        <v>138.1</v>
      </c>
      <c r="E29" s="4"/>
      <c r="F29" s="4"/>
      <c r="G29" s="4"/>
      <c r="H29" s="112"/>
      <c r="I29" s="4"/>
      <c r="J29" s="337"/>
      <c r="K29" s="338"/>
      <c r="L29" s="338"/>
      <c r="M29" s="338"/>
      <c r="N29" s="338"/>
      <c r="O29" s="339"/>
      <c r="Q29" s="159"/>
    </row>
    <row r="30" spans="1:59" s="124" customFormat="1" ht="24.75" thickBot="1">
      <c r="A30" s="106">
        <f t="shared" si="0"/>
        <v>3</v>
      </c>
      <c r="B30" s="158" t="s">
        <v>1051</v>
      </c>
      <c r="C30" s="116" t="s">
        <v>14</v>
      </c>
      <c r="D30" s="140">
        <v>26.9</v>
      </c>
      <c r="E30" s="4"/>
      <c r="F30" s="4"/>
      <c r="G30" s="4"/>
      <c r="H30" s="112"/>
      <c r="I30" s="4"/>
      <c r="J30" s="337"/>
      <c r="K30" s="338"/>
      <c r="L30" s="338"/>
      <c r="M30" s="338"/>
      <c r="N30" s="338"/>
      <c r="O30" s="339"/>
      <c r="Q30" s="159"/>
    </row>
    <row r="31" spans="1:59" s="102" customFormat="1" ht="15.75" thickTop="1" thickBot="1">
      <c r="A31" s="181"/>
      <c r="B31" s="400" t="s">
        <v>1587</v>
      </c>
      <c r="C31" s="401"/>
      <c r="D31" s="401"/>
      <c r="E31" s="401"/>
      <c r="F31" s="401"/>
      <c r="G31" s="401"/>
      <c r="H31" s="401"/>
      <c r="I31" s="401"/>
      <c r="J31" s="402"/>
      <c r="K31" s="182"/>
      <c r="L31" s="182"/>
      <c r="M31" s="182"/>
      <c r="N31" s="182"/>
      <c r="O31" s="183"/>
      <c r="P31" s="25"/>
      <c r="Q31" s="25"/>
      <c r="R31" s="25"/>
      <c r="S31" s="25"/>
      <c r="T31" s="25"/>
      <c r="U31" s="25"/>
      <c r="V31" s="25"/>
      <c r="W31" s="25"/>
      <c r="X31" s="25"/>
      <c r="Y31" s="25"/>
      <c r="Z31" s="25"/>
      <c r="AA31" s="25"/>
      <c r="AB31" s="25"/>
      <c r="AC31" s="25"/>
    </row>
    <row r="32" spans="1:59" s="102" customFormat="1" ht="15" thickTop="1">
      <c r="B32" s="200"/>
      <c r="P32" s="25"/>
      <c r="Q32" s="25"/>
      <c r="R32" s="25"/>
      <c r="S32" s="25"/>
      <c r="T32" s="25"/>
      <c r="U32" s="25"/>
      <c r="V32" s="25"/>
      <c r="W32" s="25"/>
      <c r="X32" s="25"/>
      <c r="Y32" s="25"/>
      <c r="Z32" s="25"/>
      <c r="AA32" s="25"/>
      <c r="AB32" s="25"/>
      <c r="AC32" s="25"/>
    </row>
    <row r="33" spans="1:29" s="102" customFormat="1" ht="14.25">
      <c r="B33" s="184"/>
      <c r="P33" s="25"/>
      <c r="Q33" s="25"/>
      <c r="R33" s="25"/>
      <c r="S33" s="25"/>
      <c r="T33" s="25"/>
      <c r="U33" s="25"/>
      <c r="V33" s="25"/>
      <c r="W33" s="25"/>
      <c r="X33" s="25"/>
      <c r="Y33" s="25"/>
      <c r="Z33" s="25"/>
      <c r="AA33" s="25"/>
      <c r="AB33" s="25"/>
      <c r="AC33" s="25"/>
    </row>
    <row r="34" spans="1:29" s="102" customFormat="1" ht="14.25">
      <c r="A34" s="117"/>
      <c r="B34" s="172" t="s">
        <v>209</v>
      </c>
      <c r="C34" s="117"/>
      <c r="D34" s="117"/>
      <c r="E34" s="117"/>
      <c r="F34" s="117"/>
      <c r="G34" s="117"/>
      <c r="H34" s="117"/>
      <c r="P34" s="25"/>
      <c r="Q34" s="170"/>
      <c r="R34" s="25"/>
      <c r="S34" s="25"/>
      <c r="T34" s="25"/>
      <c r="U34" s="25"/>
      <c r="V34" s="25"/>
      <c r="W34" s="25"/>
      <c r="X34" s="25"/>
      <c r="Y34" s="25"/>
      <c r="Z34" s="25"/>
      <c r="AA34" s="25"/>
      <c r="AB34" s="25"/>
      <c r="AC34" s="25"/>
    </row>
    <row r="35" spans="1:29" s="102" customFormat="1" ht="14.25">
      <c r="A35" s="117"/>
      <c r="B35" s="172"/>
      <c r="C35" s="117"/>
      <c r="D35" s="117"/>
      <c r="E35" s="117"/>
      <c r="F35" s="117"/>
      <c r="G35" s="117"/>
      <c r="H35" s="117"/>
      <c r="P35" s="25"/>
      <c r="Q35" s="170"/>
      <c r="R35" s="25"/>
      <c r="S35" s="25"/>
      <c r="T35" s="25"/>
      <c r="U35" s="25"/>
      <c r="V35" s="25"/>
      <c r="W35" s="25"/>
      <c r="X35" s="25"/>
      <c r="Y35" s="25"/>
      <c r="Z35" s="25"/>
      <c r="AA35" s="25"/>
      <c r="AB35" s="25"/>
      <c r="AC35" s="25"/>
    </row>
    <row r="36" spans="1:29" s="102" customFormat="1" ht="14.25">
      <c r="B36" s="92">
        <f ca="1">TODAY()</f>
        <v>43206</v>
      </c>
      <c r="P36" s="25"/>
      <c r="Q36" s="25"/>
      <c r="R36" s="25"/>
      <c r="S36" s="25"/>
      <c r="T36" s="25"/>
      <c r="U36" s="25"/>
      <c r="V36" s="25"/>
      <c r="W36" s="25"/>
      <c r="X36" s="25"/>
      <c r="Y36" s="25"/>
      <c r="Z36" s="25"/>
      <c r="AA36" s="25"/>
      <c r="AB36" s="25"/>
      <c r="AC36" s="25"/>
    </row>
    <row r="37" spans="1:29" s="102" customFormat="1" ht="14.25">
      <c r="P37" s="25"/>
      <c r="Q37" s="25"/>
      <c r="R37" s="25"/>
      <c r="S37" s="25"/>
      <c r="T37" s="25"/>
      <c r="U37" s="25"/>
      <c r="V37" s="25"/>
      <c r="W37" s="25"/>
      <c r="X37" s="25"/>
      <c r="Y37" s="25"/>
      <c r="Z37" s="25"/>
      <c r="AA37" s="25"/>
      <c r="AB37" s="25"/>
      <c r="AC37" s="25"/>
    </row>
    <row r="38" spans="1:29" s="102" customFormat="1" ht="14.25">
      <c r="A38" s="117"/>
      <c r="B38" s="117"/>
      <c r="C38" s="117"/>
      <c r="D38" s="117"/>
      <c r="E38" s="117"/>
      <c r="F38" s="117"/>
      <c r="G38" s="117"/>
      <c r="H38" s="117"/>
      <c r="I38" s="117"/>
      <c r="J38" s="117"/>
      <c r="K38" s="117"/>
      <c r="L38" s="117"/>
      <c r="M38" s="117"/>
      <c r="N38" s="117"/>
      <c r="O38" s="117"/>
      <c r="P38" s="25"/>
      <c r="Q38" s="170"/>
      <c r="R38" s="25"/>
      <c r="S38" s="25"/>
      <c r="T38" s="25"/>
      <c r="U38" s="25"/>
      <c r="V38" s="25"/>
      <c r="W38" s="25"/>
      <c r="X38" s="25"/>
      <c r="Y38" s="25"/>
      <c r="Z38" s="25"/>
      <c r="AA38" s="25"/>
      <c r="AB38" s="25"/>
      <c r="AC38" s="25"/>
    </row>
    <row r="39" spans="1:29" s="102" customFormat="1" ht="14.25">
      <c r="A39" s="117"/>
      <c r="B39" s="117"/>
      <c r="C39" s="117"/>
      <c r="D39" s="117"/>
      <c r="E39" s="117"/>
      <c r="F39" s="117"/>
      <c r="G39" s="117"/>
      <c r="H39" s="117"/>
      <c r="I39" s="117"/>
      <c r="J39" s="117"/>
      <c r="K39" s="117"/>
      <c r="L39" s="117"/>
      <c r="M39" s="117"/>
      <c r="N39" s="117"/>
      <c r="O39" s="117"/>
      <c r="P39" s="25"/>
      <c r="Q39" s="170"/>
      <c r="R39" s="25"/>
      <c r="S39" s="25"/>
      <c r="T39" s="25"/>
      <c r="U39" s="25"/>
      <c r="V39" s="25"/>
      <c r="W39" s="25"/>
      <c r="X39" s="25"/>
      <c r="Y39" s="25"/>
      <c r="Z39" s="25"/>
      <c r="AA39" s="25"/>
      <c r="AB39" s="25"/>
      <c r="AC39" s="25"/>
    </row>
    <row r="40" spans="1:29">
      <c r="P40" s="133"/>
      <c r="Q40" s="193"/>
      <c r="R40" s="133"/>
      <c r="S40" s="133"/>
      <c r="T40" s="133"/>
      <c r="U40" s="133"/>
      <c r="V40" s="133"/>
      <c r="W40" s="133"/>
      <c r="X40" s="133"/>
      <c r="Y40" s="133"/>
      <c r="Z40" s="133"/>
      <c r="AA40" s="133"/>
      <c r="AB40" s="133"/>
      <c r="AC40" s="133"/>
    </row>
    <row r="41" spans="1:29">
      <c r="P41" s="133"/>
      <c r="Q41" s="193"/>
      <c r="R41" s="133"/>
      <c r="S41" s="133"/>
      <c r="T41" s="133"/>
      <c r="U41" s="133"/>
      <c r="V41" s="133"/>
      <c r="W41" s="133"/>
      <c r="X41" s="133"/>
      <c r="Y41" s="133"/>
      <c r="Z41" s="133"/>
      <c r="AA41" s="133"/>
      <c r="AB41" s="133"/>
      <c r="AC41" s="133"/>
    </row>
    <row r="42" spans="1:29">
      <c r="P42" s="133"/>
      <c r="Q42" s="193"/>
      <c r="R42" s="133"/>
      <c r="S42" s="133"/>
      <c r="T42" s="133"/>
      <c r="U42" s="133"/>
      <c r="V42" s="133"/>
      <c r="W42" s="133"/>
      <c r="X42" s="133"/>
      <c r="Y42" s="133"/>
      <c r="Z42" s="133"/>
      <c r="AA42" s="133"/>
      <c r="AB42" s="133"/>
      <c r="AC42" s="133"/>
    </row>
    <row r="43" spans="1:29">
      <c r="P43" s="133"/>
      <c r="Q43" s="193"/>
      <c r="R43" s="133"/>
      <c r="S43" s="133"/>
      <c r="T43" s="133"/>
      <c r="U43" s="133"/>
      <c r="V43" s="133"/>
      <c r="W43" s="133"/>
      <c r="X43" s="133"/>
      <c r="Y43" s="133"/>
      <c r="Z43" s="133"/>
      <c r="AA43" s="133"/>
      <c r="AB43" s="133"/>
      <c r="AC43" s="133"/>
    </row>
    <row r="44" spans="1:29">
      <c r="P44" s="133"/>
      <c r="Q44" s="193"/>
      <c r="R44" s="133"/>
      <c r="S44" s="133"/>
      <c r="T44" s="133"/>
      <c r="U44" s="133"/>
      <c r="V44" s="133"/>
      <c r="W44" s="133"/>
      <c r="X44" s="133"/>
      <c r="Y44" s="133"/>
      <c r="Z44" s="133"/>
      <c r="AA44" s="133"/>
      <c r="AB44" s="133"/>
      <c r="AC44" s="133"/>
    </row>
    <row r="45" spans="1:29">
      <c r="P45" s="133"/>
      <c r="Q45" s="193"/>
      <c r="R45" s="133"/>
      <c r="S45" s="133"/>
      <c r="T45" s="133"/>
      <c r="U45" s="133"/>
      <c r="V45" s="133"/>
      <c r="W45" s="133"/>
      <c r="X45" s="133"/>
      <c r="Y45" s="133"/>
      <c r="Z45" s="133"/>
      <c r="AA45" s="133"/>
      <c r="AB45" s="133"/>
      <c r="AC45" s="133"/>
    </row>
    <row r="46" spans="1:29">
      <c r="P46" s="133"/>
      <c r="Q46" s="193"/>
      <c r="R46" s="133"/>
      <c r="S46" s="133"/>
      <c r="T46" s="133"/>
      <c r="U46" s="133"/>
      <c r="V46" s="133"/>
      <c r="W46" s="133"/>
      <c r="X46" s="133"/>
      <c r="Y46" s="133"/>
      <c r="Z46" s="133"/>
      <c r="AA46" s="133"/>
      <c r="AB46" s="133"/>
      <c r="AC46" s="133"/>
    </row>
    <row r="47" spans="1:29">
      <c r="P47" s="133"/>
      <c r="Q47" s="193"/>
      <c r="R47" s="133"/>
      <c r="S47" s="133"/>
      <c r="T47" s="133"/>
      <c r="U47" s="133"/>
      <c r="V47" s="133"/>
      <c r="W47" s="133"/>
      <c r="X47" s="133"/>
      <c r="Y47" s="133"/>
      <c r="Z47" s="133"/>
      <c r="AA47" s="133"/>
      <c r="AB47" s="133"/>
      <c r="AC47" s="133"/>
    </row>
    <row r="48" spans="1:29">
      <c r="P48" s="133"/>
      <c r="Q48" s="193"/>
      <c r="R48" s="133"/>
      <c r="S48" s="133"/>
      <c r="T48" s="133"/>
      <c r="U48" s="133"/>
      <c r="V48" s="133"/>
      <c r="W48" s="133"/>
      <c r="X48" s="133"/>
      <c r="Y48" s="133"/>
      <c r="Z48" s="133"/>
      <c r="AA48" s="133"/>
      <c r="AB48" s="133"/>
      <c r="AC48" s="133"/>
    </row>
    <row r="49" spans="16:29">
      <c r="P49" s="133"/>
      <c r="Q49" s="193"/>
      <c r="R49" s="133"/>
      <c r="S49" s="133"/>
      <c r="T49" s="133"/>
      <c r="U49" s="133"/>
      <c r="V49" s="133"/>
      <c r="W49" s="133"/>
      <c r="X49" s="133"/>
      <c r="Y49" s="133"/>
      <c r="Z49" s="133"/>
      <c r="AA49" s="133"/>
      <c r="AB49" s="133"/>
      <c r="AC49" s="133"/>
    </row>
    <row r="50" spans="16:29">
      <c r="P50" s="133"/>
      <c r="Q50" s="193"/>
      <c r="R50" s="133"/>
      <c r="S50" s="133"/>
      <c r="T50" s="133"/>
      <c r="U50" s="133"/>
      <c r="V50" s="133"/>
      <c r="W50" s="133"/>
      <c r="X50" s="133"/>
      <c r="Y50" s="133"/>
      <c r="Z50" s="133"/>
      <c r="AA50" s="133"/>
      <c r="AB50" s="133"/>
      <c r="AC50" s="133"/>
    </row>
    <row r="51" spans="16:29">
      <c r="P51" s="133"/>
      <c r="Q51" s="193"/>
      <c r="R51" s="133"/>
      <c r="S51" s="133"/>
      <c r="T51" s="133"/>
      <c r="U51" s="133"/>
      <c r="V51" s="133"/>
      <c r="W51" s="133"/>
      <c r="X51" s="133"/>
      <c r="Y51" s="133"/>
      <c r="Z51" s="133"/>
      <c r="AA51" s="133"/>
      <c r="AB51" s="133"/>
      <c r="AC51" s="133"/>
    </row>
    <row r="52" spans="16:29">
      <c r="P52" s="133"/>
      <c r="Q52" s="193"/>
      <c r="R52" s="133"/>
      <c r="S52" s="133"/>
      <c r="T52" s="133"/>
      <c r="U52" s="133"/>
      <c r="V52" s="133"/>
      <c r="W52" s="133"/>
      <c r="X52" s="133"/>
      <c r="Y52" s="133"/>
      <c r="Z52" s="133"/>
      <c r="AA52" s="133"/>
      <c r="AB52" s="133"/>
      <c r="AC52" s="133"/>
    </row>
    <row r="53" spans="16:29">
      <c r="P53" s="133"/>
      <c r="Q53" s="193"/>
      <c r="R53" s="133"/>
      <c r="S53" s="133"/>
      <c r="T53" s="133"/>
      <c r="U53" s="133"/>
      <c r="V53" s="133"/>
      <c r="W53" s="133"/>
      <c r="X53" s="133"/>
      <c r="Y53" s="133"/>
      <c r="Z53" s="133"/>
      <c r="AA53" s="133"/>
      <c r="AB53" s="133"/>
      <c r="AC53" s="133"/>
    </row>
    <row r="54" spans="16:29">
      <c r="P54" s="133"/>
      <c r="Q54" s="193"/>
      <c r="R54" s="133"/>
      <c r="S54" s="133"/>
      <c r="T54" s="133"/>
      <c r="U54" s="133"/>
      <c r="V54" s="133"/>
      <c r="W54" s="133"/>
      <c r="X54" s="133"/>
      <c r="Y54" s="133"/>
      <c r="Z54" s="133"/>
      <c r="AA54" s="133"/>
      <c r="AB54" s="133"/>
      <c r="AC54" s="133"/>
    </row>
    <row r="55" spans="16:29">
      <c r="P55" s="133"/>
      <c r="Q55" s="193"/>
      <c r="R55" s="133"/>
      <c r="S55" s="133"/>
      <c r="T55" s="133"/>
      <c r="U55" s="133"/>
      <c r="V55" s="133"/>
      <c r="W55" s="133"/>
      <c r="X55" s="133"/>
      <c r="Y55" s="133"/>
      <c r="Z55" s="133"/>
      <c r="AA55" s="133"/>
      <c r="AB55" s="133"/>
      <c r="AC55" s="133"/>
    </row>
    <row r="56" spans="16:29">
      <c r="P56" s="133"/>
      <c r="Q56" s="193"/>
      <c r="R56" s="133"/>
      <c r="S56" s="133"/>
      <c r="T56" s="133"/>
      <c r="U56" s="133"/>
      <c r="V56" s="133"/>
      <c r="W56" s="133"/>
      <c r="X56" s="133"/>
      <c r="Y56" s="133"/>
      <c r="Z56" s="133"/>
      <c r="AA56" s="133"/>
      <c r="AB56" s="133"/>
      <c r="AC56" s="133"/>
    </row>
    <row r="57" spans="16:29">
      <c r="P57" s="133"/>
      <c r="Q57" s="193"/>
      <c r="R57" s="133"/>
      <c r="S57" s="133"/>
      <c r="T57" s="133"/>
      <c r="U57" s="133"/>
      <c r="V57" s="133"/>
      <c r="W57" s="133"/>
      <c r="X57" s="133"/>
      <c r="Y57" s="133"/>
      <c r="Z57" s="133"/>
      <c r="AA57" s="133"/>
      <c r="AB57" s="133"/>
      <c r="AC57" s="133"/>
    </row>
    <row r="58" spans="16:29">
      <c r="P58" s="133"/>
      <c r="Q58" s="193"/>
      <c r="R58" s="133"/>
      <c r="S58" s="133"/>
      <c r="T58" s="133"/>
      <c r="U58" s="133"/>
      <c r="V58" s="133"/>
      <c r="W58" s="133"/>
      <c r="X58" s="133"/>
      <c r="Y58" s="133"/>
      <c r="Z58" s="133"/>
      <c r="AA58" s="133"/>
      <c r="AB58" s="133"/>
      <c r="AC58" s="133"/>
    </row>
    <row r="59" spans="16:29">
      <c r="P59" s="133"/>
      <c r="Q59" s="193"/>
      <c r="R59" s="133"/>
      <c r="S59" s="133"/>
      <c r="T59" s="133"/>
      <c r="U59" s="133"/>
      <c r="V59" s="133"/>
      <c r="W59" s="133"/>
      <c r="X59" s="133"/>
      <c r="Y59" s="133"/>
      <c r="Z59" s="133"/>
      <c r="AA59" s="133"/>
      <c r="AB59" s="133"/>
      <c r="AC59" s="133"/>
    </row>
    <row r="60" spans="16:29">
      <c r="P60" s="133"/>
      <c r="Q60" s="193"/>
      <c r="R60" s="133"/>
      <c r="S60" s="133"/>
      <c r="T60" s="133"/>
      <c r="U60" s="133"/>
      <c r="V60" s="133"/>
      <c r="W60" s="133"/>
      <c r="X60" s="133"/>
      <c r="Y60" s="133"/>
      <c r="Z60" s="133"/>
      <c r="AA60" s="133"/>
      <c r="AB60" s="133"/>
      <c r="AC60" s="133"/>
    </row>
    <row r="61" spans="16:29">
      <c r="P61" s="133"/>
      <c r="Q61" s="193"/>
      <c r="R61" s="133"/>
      <c r="S61" s="133"/>
      <c r="T61" s="133"/>
      <c r="U61" s="133"/>
      <c r="V61" s="133"/>
      <c r="W61" s="133"/>
      <c r="X61" s="133"/>
      <c r="Y61" s="133"/>
      <c r="Z61" s="133"/>
      <c r="AA61" s="133"/>
      <c r="AB61" s="133"/>
      <c r="AC61" s="133"/>
    </row>
    <row r="62" spans="16:29">
      <c r="P62" s="133"/>
      <c r="Q62" s="193"/>
      <c r="R62" s="133"/>
      <c r="S62" s="133"/>
      <c r="T62" s="133"/>
      <c r="U62" s="133"/>
      <c r="V62" s="133"/>
      <c r="W62" s="133"/>
      <c r="X62" s="133"/>
      <c r="Y62" s="133"/>
      <c r="Z62" s="133"/>
      <c r="AA62" s="133"/>
      <c r="AB62" s="133"/>
      <c r="AC62" s="133"/>
    </row>
    <row r="63" spans="16:29">
      <c r="P63" s="133"/>
      <c r="Q63" s="193"/>
      <c r="R63" s="133"/>
      <c r="S63" s="133"/>
      <c r="T63" s="133"/>
      <c r="U63" s="133"/>
      <c r="V63" s="133"/>
      <c r="W63" s="133"/>
      <c r="X63" s="133"/>
      <c r="Y63" s="133"/>
      <c r="Z63" s="133"/>
      <c r="AA63" s="133"/>
      <c r="AB63" s="133"/>
      <c r="AC63" s="133"/>
    </row>
    <row r="64" spans="16:29">
      <c r="P64" s="133"/>
      <c r="Q64" s="193"/>
      <c r="R64" s="133"/>
      <c r="S64" s="133"/>
      <c r="T64" s="133"/>
      <c r="U64" s="133"/>
      <c r="V64" s="133"/>
      <c r="W64" s="133"/>
      <c r="X64" s="133"/>
      <c r="Y64" s="133"/>
      <c r="Z64" s="133"/>
      <c r="AA64" s="133"/>
      <c r="AB64" s="133"/>
      <c r="AC64" s="133"/>
    </row>
    <row r="65" spans="16:29">
      <c r="P65" s="133"/>
      <c r="Q65" s="193"/>
      <c r="R65" s="133"/>
      <c r="S65" s="133"/>
      <c r="T65" s="133"/>
      <c r="U65" s="133"/>
      <c r="V65" s="133"/>
      <c r="W65" s="133"/>
      <c r="X65" s="133"/>
      <c r="Y65" s="133"/>
      <c r="Z65" s="133"/>
      <c r="AA65" s="133"/>
      <c r="AB65" s="133"/>
      <c r="AC65" s="133"/>
    </row>
    <row r="66" spans="16:29">
      <c r="P66" s="133"/>
      <c r="Q66" s="193"/>
      <c r="R66" s="133"/>
      <c r="S66" s="133"/>
      <c r="T66" s="133"/>
      <c r="U66" s="133"/>
      <c r="V66" s="133"/>
      <c r="W66" s="133"/>
      <c r="X66" s="133"/>
      <c r="Y66" s="133"/>
      <c r="Z66" s="133"/>
      <c r="AA66" s="133"/>
      <c r="AB66" s="133"/>
      <c r="AC66" s="133"/>
    </row>
    <row r="67" spans="16:29">
      <c r="P67" s="133"/>
      <c r="Q67" s="193"/>
      <c r="R67" s="133"/>
      <c r="S67" s="133"/>
      <c r="T67" s="133"/>
      <c r="U67" s="133"/>
      <c r="V67" s="133"/>
      <c r="W67" s="133"/>
      <c r="X67" s="133"/>
      <c r="Y67" s="133"/>
      <c r="Z67" s="133"/>
      <c r="AA67" s="133"/>
      <c r="AB67" s="133"/>
      <c r="AC67" s="133"/>
    </row>
    <row r="68" spans="16:29">
      <c r="P68" s="133"/>
      <c r="Q68" s="193"/>
      <c r="R68" s="133"/>
      <c r="S68" s="133"/>
      <c r="T68" s="133"/>
      <c r="U68" s="133"/>
      <c r="V68" s="133"/>
      <c r="W68" s="133"/>
      <c r="X68" s="133"/>
      <c r="Y68" s="133"/>
      <c r="Z68" s="133"/>
      <c r="AA68" s="133"/>
      <c r="AB68" s="133"/>
      <c r="AC68" s="133"/>
    </row>
    <row r="69" spans="16:29">
      <c r="P69" s="133"/>
      <c r="Q69" s="193"/>
      <c r="R69" s="133"/>
      <c r="S69" s="133"/>
      <c r="T69" s="133"/>
      <c r="U69" s="133"/>
      <c r="V69" s="133"/>
      <c r="W69" s="133"/>
      <c r="X69" s="133"/>
      <c r="Y69" s="133"/>
      <c r="Z69" s="133"/>
      <c r="AA69" s="133"/>
      <c r="AB69" s="133"/>
      <c r="AC69" s="133"/>
    </row>
  </sheetData>
  <mergeCells count="22">
    <mergeCell ref="B31:J31"/>
    <mergeCell ref="K9:K12"/>
    <mergeCell ref="L9:L12"/>
    <mergeCell ref="M9:M12"/>
    <mergeCell ref="N9:N12"/>
    <mergeCell ref="I9:I12"/>
    <mergeCell ref="O9:O12"/>
    <mergeCell ref="J9:J12"/>
    <mergeCell ref="A1:O1"/>
    <mergeCell ref="A2:O2"/>
    <mergeCell ref="J7:M7"/>
    <mergeCell ref="N7:O7"/>
    <mergeCell ref="A8:A12"/>
    <mergeCell ref="B8:B12"/>
    <mergeCell ref="C8:C12"/>
    <mergeCell ref="D8:D12"/>
    <mergeCell ref="E8:J8"/>
    <mergeCell ref="K8:O8"/>
    <mergeCell ref="E9:E12"/>
    <mergeCell ref="F9:F12"/>
    <mergeCell ref="G9:G12"/>
    <mergeCell ref="H9:H12"/>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D288"/>
  <sheetViews>
    <sheetView topLeftCell="A115" zoomScaleNormal="100" workbookViewId="0">
      <selection activeCell="B135" sqref="B135:J135"/>
    </sheetView>
  </sheetViews>
  <sheetFormatPr defaultColWidth="9.140625" defaultRowHeight="12.75"/>
  <cols>
    <col min="1" max="1" width="6.5703125" style="117" customWidth="1"/>
    <col min="2" max="2" width="36.28515625" style="117" customWidth="1"/>
    <col min="3" max="3" width="6.7109375" style="117" customWidth="1"/>
    <col min="4" max="4" width="7.140625" style="117" customWidth="1"/>
    <col min="5" max="10" width="9" style="117" customWidth="1"/>
    <col min="11" max="12" width="9.28515625" style="117" customWidth="1"/>
    <col min="13" max="13" width="10.140625" style="117" customWidth="1"/>
    <col min="14" max="14" width="9.28515625" style="117" customWidth="1"/>
    <col min="15" max="15" width="12" style="117" customWidth="1"/>
    <col min="16" max="16" width="11.7109375" style="117" bestFit="1" customWidth="1"/>
    <col min="17" max="16384" width="9.140625" style="117"/>
  </cols>
  <sheetData>
    <row r="1" spans="1:16" s="102" customFormat="1" ht="14.25">
      <c r="A1" s="396" t="s">
        <v>335</v>
      </c>
      <c r="B1" s="396"/>
      <c r="C1" s="396"/>
      <c r="D1" s="396"/>
      <c r="E1" s="396"/>
      <c r="F1" s="396"/>
      <c r="G1" s="396"/>
      <c r="H1" s="396"/>
      <c r="I1" s="396"/>
      <c r="J1" s="396"/>
      <c r="K1" s="396"/>
      <c r="L1" s="396"/>
      <c r="M1" s="396"/>
      <c r="N1" s="396"/>
      <c r="O1" s="396"/>
    </row>
    <row r="2" spans="1:16" s="102" customFormat="1" ht="14.25">
      <c r="A2" s="397" t="str">
        <f>Kopsavilkums!C26</f>
        <v>Grīdas</v>
      </c>
      <c r="B2" s="397"/>
      <c r="C2" s="397"/>
      <c r="D2" s="397"/>
      <c r="E2" s="397"/>
      <c r="F2" s="397"/>
      <c r="G2" s="397"/>
      <c r="H2" s="397"/>
      <c r="I2" s="397"/>
      <c r="J2" s="397"/>
      <c r="K2" s="397"/>
      <c r="L2" s="397"/>
      <c r="M2" s="397"/>
      <c r="N2" s="397"/>
      <c r="O2" s="397"/>
    </row>
    <row r="3" spans="1:16" s="102" customFormat="1" ht="14.25">
      <c r="A3" s="115" t="s">
        <v>1246</v>
      </c>
      <c r="B3" s="177"/>
      <c r="C3" s="177"/>
      <c r="D3" s="177"/>
      <c r="E3" s="177"/>
      <c r="F3" s="177"/>
      <c r="G3" s="177"/>
      <c r="H3" s="177"/>
      <c r="I3" s="177"/>
      <c r="J3" s="177"/>
      <c r="K3" s="177"/>
      <c r="L3" s="177"/>
      <c r="M3" s="177"/>
      <c r="N3" s="177"/>
      <c r="O3" s="177"/>
    </row>
    <row r="4" spans="1:16" s="102" customFormat="1" ht="14.25">
      <c r="A4" s="115" t="s">
        <v>307</v>
      </c>
      <c r="B4" s="177"/>
      <c r="C4" s="177"/>
      <c r="D4" s="177"/>
      <c r="E4" s="177"/>
      <c r="F4" s="177"/>
      <c r="G4" s="177"/>
      <c r="H4" s="177"/>
      <c r="I4" s="177"/>
      <c r="J4" s="177"/>
      <c r="K4" s="177"/>
      <c r="L4" s="177"/>
      <c r="M4" s="177"/>
      <c r="N4" s="177"/>
      <c r="O4" s="177"/>
    </row>
    <row r="5" spans="1:16" s="102" customFormat="1" ht="14.25">
      <c r="A5" s="115" t="s">
        <v>306</v>
      </c>
      <c r="B5" s="177"/>
      <c r="C5" s="177"/>
      <c r="D5" s="177"/>
      <c r="E5" s="177"/>
      <c r="F5" s="177"/>
      <c r="G5" s="177"/>
      <c r="H5" s="177"/>
      <c r="I5" s="177"/>
      <c r="J5" s="177"/>
      <c r="K5" s="177"/>
      <c r="L5" s="177"/>
      <c r="M5" s="177"/>
      <c r="N5" s="177"/>
      <c r="O5" s="177"/>
    </row>
    <row r="6" spans="1:16" s="15" customFormat="1" ht="13.5" thickBot="1">
      <c r="E6" s="28"/>
      <c r="F6" s="28"/>
      <c r="G6" s="28"/>
      <c r="H6" s="28"/>
      <c r="I6" s="28"/>
      <c r="J6" s="370" t="s">
        <v>13</v>
      </c>
      <c r="K6" s="370"/>
      <c r="L6" s="370"/>
      <c r="M6" s="370"/>
      <c r="N6" s="406" t="e">
        <f>#REF!</f>
        <v>#REF!</v>
      </c>
      <c r="O6" s="406"/>
    </row>
    <row r="7" spans="1:16" s="28" customFormat="1" ht="12.75" customHeight="1">
      <c r="A7" s="378" t="s">
        <v>27</v>
      </c>
      <c r="B7" s="381" t="s">
        <v>28</v>
      </c>
      <c r="C7" s="381" t="s">
        <v>17</v>
      </c>
      <c r="D7" s="381" t="s">
        <v>19</v>
      </c>
      <c r="E7" s="390" t="s">
        <v>15</v>
      </c>
      <c r="F7" s="391"/>
      <c r="G7" s="391"/>
      <c r="H7" s="391"/>
      <c r="I7" s="391"/>
      <c r="J7" s="392"/>
      <c r="K7" s="390" t="s">
        <v>16</v>
      </c>
      <c r="L7" s="391"/>
      <c r="M7" s="391"/>
      <c r="N7" s="391"/>
      <c r="O7" s="393"/>
    </row>
    <row r="8" spans="1:16" s="28"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6" s="28" customFormat="1">
      <c r="A9" s="379"/>
      <c r="B9" s="382"/>
      <c r="C9" s="382"/>
      <c r="D9" s="382"/>
      <c r="E9" s="394"/>
      <c r="F9" s="376"/>
      <c r="G9" s="376"/>
      <c r="H9" s="376"/>
      <c r="I9" s="376"/>
      <c r="J9" s="373"/>
      <c r="K9" s="376"/>
      <c r="L9" s="376"/>
      <c r="M9" s="376"/>
      <c r="N9" s="376"/>
      <c r="O9" s="385"/>
    </row>
    <row r="10" spans="1:16" s="28" customFormat="1">
      <c r="A10" s="379"/>
      <c r="B10" s="382"/>
      <c r="C10" s="382"/>
      <c r="D10" s="382"/>
      <c r="E10" s="394"/>
      <c r="F10" s="376"/>
      <c r="G10" s="376"/>
      <c r="H10" s="376"/>
      <c r="I10" s="376"/>
      <c r="J10" s="373"/>
      <c r="K10" s="376"/>
      <c r="L10" s="376"/>
      <c r="M10" s="376"/>
      <c r="N10" s="376"/>
      <c r="O10" s="385"/>
    </row>
    <row r="11" spans="1:16" s="28" customFormat="1" ht="13.5" thickBot="1">
      <c r="A11" s="380"/>
      <c r="B11" s="383"/>
      <c r="C11" s="383"/>
      <c r="D11" s="383"/>
      <c r="E11" s="395"/>
      <c r="F11" s="377"/>
      <c r="G11" s="377"/>
      <c r="H11" s="377"/>
      <c r="I11" s="377"/>
      <c r="J11" s="374"/>
      <c r="K11" s="377"/>
      <c r="L11" s="377"/>
      <c r="M11" s="377"/>
      <c r="N11" s="377"/>
      <c r="O11" s="386"/>
    </row>
    <row r="12" spans="1:16" s="28" customFormat="1" ht="14.25" thickTop="1" thickBot="1">
      <c r="A12" s="29">
        <v>1</v>
      </c>
      <c r="B12" s="30">
        <v>2</v>
      </c>
      <c r="C12" s="30">
        <v>3</v>
      </c>
      <c r="D12" s="30">
        <v>4</v>
      </c>
      <c r="E12" s="30">
        <v>5</v>
      </c>
      <c r="F12" s="30">
        <v>6</v>
      </c>
      <c r="G12" s="30">
        <v>7</v>
      </c>
      <c r="H12" s="30">
        <v>8</v>
      </c>
      <c r="I12" s="30">
        <v>9</v>
      </c>
      <c r="J12" s="31">
        <v>10</v>
      </c>
      <c r="K12" s="30">
        <v>11</v>
      </c>
      <c r="L12" s="31">
        <v>12</v>
      </c>
      <c r="M12" s="30">
        <v>13</v>
      </c>
      <c r="N12" s="31">
        <v>14</v>
      </c>
      <c r="O12" s="32">
        <v>15</v>
      </c>
    </row>
    <row r="13" spans="1:16" s="25" customFormat="1" ht="15" thickTop="1">
      <c r="A13" s="106"/>
      <c r="B13" s="180" t="s">
        <v>1057</v>
      </c>
      <c r="C13" s="13"/>
      <c r="D13" s="9"/>
      <c r="E13" s="33"/>
      <c r="F13" s="33"/>
      <c r="G13" s="4"/>
      <c r="H13" s="4"/>
      <c r="I13" s="4"/>
      <c r="J13" s="4"/>
      <c r="K13" s="4"/>
      <c r="L13" s="4"/>
      <c r="M13" s="4"/>
      <c r="N13" s="4"/>
      <c r="O13" s="20"/>
      <c r="P13" s="117"/>
    </row>
    <row r="14" spans="1:16" s="124" customFormat="1" ht="14.25">
      <c r="A14" s="106"/>
      <c r="B14" s="2" t="s">
        <v>1058</v>
      </c>
      <c r="C14" s="13" t="s">
        <v>14</v>
      </c>
      <c r="D14" s="9"/>
      <c r="E14" s="40"/>
      <c r="F14" s="33"/>
      <c r="G14" s="4"/>
      <c r="H14" s="4"/>
      <c r="I14" s="112"/>
      <c r="J14" s="4"/>
      <c r="K14" s="4"/>
      <c r="L14" s="4"/>
      <c r="M14" s="4"/>
      <c r="N14" s="4"/>
      <c r="O14" s="127"/>
    </row>
    <row r="15" spans="1:16" s="25" customFormat="1" ht="14.25">
      <c r="A15" s="106"/>
      <c r="B15" s="180" t="s">
        <v>1059</v>
      </c>
      <c r="C15" s="13"/>
      <c r="D15" s="9"/>
      <c r="E15" s="33"/>
      <c r="F15" s="33"/>
      <c r="G15" s="4"/>
      <c r="H15" s="4"/>
      <c r="I15" s="4"/>
      <c r="J15" s="4"/>
      <c r="K15" s="4"/>
      <c r="L15" s="4"/>
      <c r="M15" s="4"/>
      <c r="N15" s="4"/>
      <c r="O15" s="20"/>
      <c r="P15" s="117"/>
    </row>
    <row r="16" spans="1:16" s="124" customFormat="1" ht="14.25">
      <c r="A16" s="106"/>
      <c r="B16" s="2" t="s">
        <v>1058</v>
      </c>
      <c r="C16" s="13" t="s">
        <v>14</v>
      </c>
      <c r="D16" s="9"/>
      <c r="E16" s="40"/>
      <c r="F16" s="33"/>
      <c r="G16" s="4"/>
      <c r="H16" s="4"/>
      <c r="I16" s="112"/>
      <c r="J16" s="4"/>
      <c r="K16" s="4"/>
      <c r="L16" s="4"/>
      <c r="M16" s="4"/>
      <c r="N16" s="4"/>
      <c r="O16" s="127"/>
    </row>
    <row r="17" spans="1:56" s="25" customFormat="1" ht="14.25">
      <c r="A17" s="106"/>
      <c r="B17" s="180" t="s">
        <v>1060</v>
      </c>
      <c r="C17" s="13"/>
      <c r="D17" s="9"/>
      <c r="E17" s="33"/>
      <c r="F17" s="33"/>
      <c r="G17" s="4"/>
      <c r="H17" s="4"/>
      <c r="I17" s="4"/>
      <c r="J17" s="4"/>
      <c r="K17" s="4"/>
      <c r="L17" s="4"/>
      <c r="M17" s="4"/>
      <c r="N17" s="4"/>
      <c r="O17" s="20"/>
      <c r="P17" s="117"/>
    </row>
    <row r="18" spans="1:56" s="124" customFormat="1" ht="14.25">
      <c r="A18" s="106"/>
      <c r="B18" s="2" t="s">
        <v>1058</v>
      </c>
      <c r="C18" s="13" t="s">
        <v>14</v>
      </c>
      <c r="D18" s="9"/>
      <c r="E18" s="40"/>
      <c r="F18" s="33"/>
      <c r="G18" s="4"/>
      <c r="H18" s="4"/>
      <c r="I18" s="112"/>
      <c r="J18" s="4"/>
      <c r="K18" s="4"/>
      <c r="L18" s="4"/>
      <c r="M18" s="4"/>
      <c r="N18" s="4"/>
      <c r="O18" s="127"/>
    </row>
    <row r="19" spans="1:56" s="25" customFormat="1" ht="14.25">
      <c r="A19" s="106"/>
      <c r="B19" s="180" t="s">
        <v>1061</v>
      </c>
      <c r="C19" s="13"/>
      <c r="D19" s="9"/>
      <c r="E19" s="33"/>
      <c r="F19" s="33"/>
      <c r="G19" s="4"/>
      <c r="H19" s="4"/>
      <c r="I19" s="4"/>
      <c r="J19" s="4"/>
      <c r="K19" s="4"/>
      <c r="L19" s="4"/>
      <c r="M19" s="4"/>
      <c r="N19" s="4"/>
      <c r="O19" s="20"/>
      <c r="P19" s="117"/>
    </row>
    <row r="20" spans="1:56" s="124" customFormat="1" ht="14.25">
      <c r="A20" s="106">
        <f t="shared" ref="A20:A54" si="0">A19+1</f>
        <v>1</v>
      </c>
      <c r="B20" s="223" t="s">
        <v>1062</v>
      </c>
      <c r="C20" s="139" t="s">
        <v>14</v>
      </c>
      <c r="D20" s="9">
        <v>55.9</v>
      </c>
      <c r="E20" s="4"/>
      <c r="F20" s="40"/>
      <c r="G20" s="4"/>
      <c r="H20" s="4"/>
      <c r="I20" s="112"/>
      <c r="J20" s="337"/>
      <c r="K20" s="338"/>
      <c r="L20" s="338"/>
      <c r="M20" s="338"/>
      <c r="N20" s="338"/>
      <c r="O20" s="339"/>
      <c r="P20" s="162"/>
      <c r="Q20" s="125"/>
      <c r="R20" s="125"/>
      <c r="S20" s="126"/>
      <c r="T20" s="126"/>
      <c r="U20" s="126"/>
      <c r="V20" s="126"/>
      <c r="W20" s="126"/>
      <c r="X20" s="126"/>
    </row>
    <row r="21" spans="1:56" s="124" customFormat="1" ht="14.25">
      <c r="A21" s="106">
        <f t="shared" si="0"/>
        <v>2</v>
      </c>
      <c r="B21" s="2" t="s">
        <v>1063</v>
      </c>
      <c r="C21" s="13" t="s">
        <v>14</v>
      </c>
      <c r="D21" s="9">
        <f>D20</f>
        <v>55.9</v>
      </c>
      <c r="E21" s="40"/>
      <c r="F21" s="33"/>
      <c r="G21" s="4"/>
      <c r="H21" s="4"/>
      <c r="I21" s="112"/>
      <c r="J21" s="337"/>
      <c r="K21" s="338"/>
      <c r="L21" s="338"/>
      <c r="M21" s="338"/>
      <c r="N21" s="338"/>
      <c r="O21" s="339"/>
    </row>
    <row r="22" spans="1:56" s="25" customFormat="1" ht="14.25">
      <c r="A22" s="106"/>
      <c r="B22" s="180" t="s">
        <v>1064</v>
      </c>
      <c r="C22" s="13"/>
      <c r="D22" s="9"/>
      <c r="E22" s="33"/>
      <c r="F22" s="33"/>
      <c r="G22" s="4"/>
      <c r="H22" s="4"/>
      <c r="I22" s="4"/>
      <c r="J22" s="4"/>
      <c r="K22" s="4"/>
      <c r="L22" s="4"/>
      <c r="M22" s="4"/>
      <c r="N22" s="4"/>
      <c r="O22" s="20"/>
      <c r="P22" s="117"/>
    </row>
    <row r="23" spans="1:56" s="25" customFormat="1" ht="14.25">
      <c r="A23" s="106">
        <v>3</v>
      </c>
      <c r="B23" s="49" t="s">
        <v>290</v>
      </c>
      <c r="C23" s="13" t="s">
        <v>14</v>
      </c>
      <c r="D23" s="9">
        <v>45</v>
      </c>
      <c r="E23" s="33"/>
      <c r="F23" s="40"/>
      <c r="G23" s="4"/>
      <c r="H23" s="34"/>
      <c r="I23" s="4"/>
      <c r="J23" s="337"/>
      <c r="K23" s="338"/>
      <c r="L23" s="338"/>
      <c r="M23" s="338"/>
      <c r="N23" s="338"/>
      <c r="O23" s="339"/>
    </row>
    <row r="24" spans="1:56" s="25" customFormat="1" ht="14.25">
      <c r="A24" s="19" t="s">
        <v>1376</v>
      </c>
      <c r="B24" s="24" t="s">
        <v>291</v>
      </c>
      <c r="C24" s="99" t="s">
        <v>14</v>
      </c>
      <c r="D24" s="100">
        <f>ROUND(D23*1.15,2)</f>
        <v>51.75</v>
      </c>
      <c r="E24" s="4"/>
      <c r="F24" s="4"/>
      <c r="G24" s="4"/>
      <c r="H24" s="4"/>
      <c r="I24" s="4"/>
      <c r="J24" s="337"/>
      <c r="K24" s="338"/>
      <c r="L24" s="338"/>
      <c r="M24" s="338"/>
      <c r="N24" s="338"/>
      <c r="O24" s="339"/>
    </row>
    <row r="25" spans="1:56" ht="24">
      <c r="A25" s="106">
        <v>4</v>
      </c>
      <c r="B25" s="158" t="s">
        <v>1065</v>
      </c>
      <c r="C25" s="116" t="s">
        <v>26</v>
      </c>
      <c r="D25" s="242">
        <f>ROUND(D23*0.07,2)</f>
        <v>3.15</v>
      </c>
      <c r="E25" s="33"/>
      <c r="F25" s="4"/>
      <c r="G25" s="4"/>
      <c r="H25" s="33"/>
      <c r="I25" s="4"/>
      <c r="J25" s="337"/>
      <c r="K25" s="338"/>
      <c r="L25" s="338"/>
      <c r="M25" s="338"/>
      <c r="N25" s="338"/>
      <c r="O25" s="339"/>
    </row>
    <row r="26" spans="1:56" s="25" customFormat="1" ht="14.25">
      <c r="A26" s="19" t="s">
        <v>1419</v>
      </c>
      <c r="B26" s="118" t="s">
        <v>1066</v>
      </c>
      <c r="C26" s="226" t="s">
        <v>26</v>
      </c>
      <c r="D26" s="9">
        <f>ROUND(D25*1.08,2)</f>
        <v>3.4</v>
      </c>
      <c r="E26" s="33"/>
      <c r="F26" s="33"/>
      <c r="G26" s="33"/>
      <c r="H26" s="100"/>
      <c r="I26" s="33"/>
      <c r="J26" s="337"/>
      <c r="K26" s="338"/>
      <c r="L26" s="338"/>
      <c r="M26" s="338"/>
      <c r="N26" s="338"/>
      <c r="O26" s="339"/>
      <c r="P26" s="205"/>
    </row>
    <row r="27" spans="1:56" s="25" customFormat="1" ht="14.25">
      <c r="A27" s="19" t="s">
        <v>1420</v>
      </c>
      <c r="B27" s="24" t="s">
        <v>341</v>
      </c>
      <c r="C27" s="13" t="s">
        <v>30</v>
      </c>
      <c r="D27" s="10">
        <v>1</v>
      </c>
      <c r="E27" s="36"/>
      <c r="F27" s="4"/>
      <c r="G27" s="4"/>
      <c r="H27" s="129"/>
      <c r="I27" s="4"/>
      <c r="J27" s="337"/>
      <c r="K27" s="338"/>
      <c r="L27" s="338"/>
      <c r="M27" s="338"/>
      <c r="N27" s="338"/>
      <c r="O27" s="339"/>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row>
    <row r="28" spans="1:56" s="25" customFormat="1" ht="14.25">
      <c r="A28" s="19" t="s">
        <v>1427</v>
      </c>
      <c r="B28" s="24" t="s">
        <v>319</v>
      </c>
      <c r="C28" s="13" t="s">
        <v>30</v>
      </c>
      <c r="D28" s="10">
        <v>1</v>
      </c>
      <c r="E28" s="36"/>
      <c r="F28" s="4"/>
      <c r="G28" s="4"/>
      <c r="H28" s="4"/>
      <c r="I28" s="4"/>
      <c r="J28" s="337"/>
      <c r="K28" s="338"/>
      <c r="L28" s="338"/>
      <c r="M28" s="338"/>
      <c r="N28" s="338"/>
      <c r="O28" s="339"/>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row>
    <row r="29" spans="1:56" s="25" customFormat="1" ht="14.25">
      <c r="A29" s="19" t="s">
        <v>1473</v>
      </c>
      <c r="B29" s="118" t="s">
        <v>320</v>
      </c>
      <c r="C29" s="226" t="s">
        <v>321</v>
      </c>
      <c r="D29" s="9">
        <f>ROUND(D25/15,2)</f>
        <v>0.21</v>
      </c>
      <c r="E29" s="33"/>
      <c r="F29" s="33"/>
      <c r="G29" s="33"/>
      <c r="H29" s="4"/>
      <c r="I29" s="33"/>
      <c r="J29" s="337"/>
      <c r="K29" s="338"/>
      <c r="L29" s="338"/>
      <c r="M29" s="338"/>
      <c r="N29" s="338"/>
      <c r="O29" s="339"/>
      <c r="P29" s="205"/>
    </row>
    <row r="30" spans="1:56" s="25" customFormat="1" ht="14.25">
      <c r="A30" s="106">
        <v>5</v>
      </c>
      <c r="B30" s="49" t="s">
        <v>1067</v>
      </c>
      <c r="C30" s="13" t="s">
        <v>14</v>
      </c>
      <c r="D30" s="9">
        <v>45</v>
      </c>
      <c r="E30" s="33"/>
      <c r="F30" s="33"/>
      <c r="G30" s="4"/>
      <c r="H30" s="34"/>
      <c r="I30" s="4"/>
      <c r="J30" s="4"/>
      <c r="K30" s="4"/>
      <c r="L30" s="4"/>
      <c r="M30" s="4"/>
      <c r="N30" s="4"/>
      <c r="O30" s="20"/>
    </row>
    <row r="31" spans="1:56" s="25" customFormat="1" ht="14.25">
      <c r="A31" s="106">
        <f t="shared" si="0"/>
        <v>6</v>
      </c>
      <c r="B31" s="49" t="s">
        <v>290</v>
      </c>
      <c r="C31" s="13" t="s">
        <v>14</v>
      </c>
      <c r="D31" s="9">
        <v>45</v>
      </c>
      <c r="E31" s="33"/>
      <c r="F31" s="40"/>
      <c r="G31" s="4"/>
      <c r="H31" s="34"/>
      <c r="I31" s="4"/>
      <c r="J31" s="337"/>
      <c r="K31" s="338"/>
      <c r="L31" s="338"/>
      <c r="M31" s="338"/>
      <c r="N31" s="338"/>
      <c r="O31" s="339"/>
    </row>
    <row r="32" spans="1:56" s="25" customFormat="1" ht="14.25">
      <c r="A32" s="19" t="s">
        <v>1382</v>
      </c>
      <c r="B32" s="24" t="s">
        <v>291</v>
      </c>
      <c r="C32" s="99" t="s">
        <v>14</v>
      </c>
      <c r="D32" s="100">
        <f>ROUND(D31*1.15,2)</f>
        <v>51.75</v>
      </c>
      <c r="E32" s="4"/>
      <c r="F32" s="4"/>
      <c r="G32" s="4"/>
      <c r="H32" s="4"/>
      <c r="I32" s="4"/>
      <c r="J32" s="337"/>
      <c r="K32" s="338"/>
      <c r="L32" s="338"/>
      <c r="M32" s="338"/>
      <c r="N32" s="338"/>
      <c r="O32" s="339"/>
    </row>
    <row r="33" spans="1:56">
      <c r="A33" s="106">
        <v>7</v>
      </c>
      <c r="B33" s="49" t="s">
        <v>303</v>
      </c>
      <c r="C33" s="13" t="s">
        <v>14</v>
      </c>
      <c r="D33" s="9">
        <f>D31</f>
        <v>45</v>
      </c>
      <c r="E33" s="33"/>
      <c r="F33" s="33"/>
      <c r="G33" s="4"/>
      <c r="H33" s="4"/>
      <c r="I33" s="4"/>
      <c r="J33" s="337"/>
      <c r="K33" s="338"/>
      <c r="L33" s="338"/>
      <c r="M33" s="338"/>
      <c r="N33" s="338"/>
      <c r="O33" s="339"/>
    </row>
    <row r="34" spans="1:56">
      <c r="A34" s="19" t="s">
        <v>268</v>
      </c>
      <c r="B34" s="24" t="s">
        <v>1068</v>
      </c>
      <c r="C34" s="13" t="s">
        <v>14</v>
      </c>
      <c r="D34" s="9">
        <f>ROUND(D33*1.05,2)</f>
        <v>47.25</v>
      </c>
      <c r="E34" s="36"/>
      <c r="F34" s="36"/>
      <c r="G34" s="4"/>
      <c r="H34" s="4"/>
      <c r="I34" s="4"/>
      <c r="J34" s="337"/>
      <c r="K34" s="338"/>
      <c r="L34" s="338"/>
      <c r="M34" s="338"/>
      <c r="N34" s="338"/>
      <c r="O34" s="339"/>
    </row>
    <row r="35" spans="1:56" s="25" customFormat="1" ht="14.25">
      <c r="A35" s="19" t="s">
        <v>269</v>
      </c>
      <c r="B35" s="24" t="s">
        <v>304</v>
      </c>
      <c r="C35" s="13" t="s">
        <v>29</v>
      </c>
      <c r="D35" s="10">
        <f>ROUND(D33*4.5,0)</f>
        <v>203</v>
      </c>
      <c r="E35" s="33"/>
      <c r="F35" s="33"/>
      <c r="G35" s="4"/>
      <c r="H35" s="4"/>
      <c r="I35" s="4"/>
      <c r="J35" s="337"/>
      <c r="K35" s="338"/>
      <c r="L35" s="338"/>
      <c r="M35" s="338"/>
      <c r="N35" s="338"/>
      <c r="O35" s="339"/>
    </row>
    <row r="36" spans="1:56" ht="24">
      <c r="A36" s="106">
        <v>8</v>
      </c>
      <c r="B36" s="158" t="s">
        <v>1069</v>
      </c>
      <c r="C36" s="116" t="s">
        <v>26</v>
      </c>
      <c r="D36" s="242">
        <f>ROUND(D33*0.05,2)</f>
        <v>2.25</v>
      </c>
      <c r="E36" s="33"/>
      <c r="F36" s="4"/>
      <c r="G36" s="4"/>
      <c r="H36" s="33"/>
      <c r="I36" s="4"/>
      <c r="J36" s="337"/>
      <c r="K36" s="338"/>
      <c r="L36" s="338"/>
      <c r="M36" s="338"/>
      <c r="N36" s="338"/>
      <c r="O36" s="339"/>
    </row>
    <row r="37" spans="1:56" s="25" customFormat="1" ht="14.25">
      <c r="A37" s="19" t="s">
        <v>1474</v>
      </c>
      <c r="B37" s="118" t="s">
        <v>1070</v>
      </c>
      <c r="C37" s="226" t="s">
        <v>26</v>
      </c>
      <c r="D37" s="9">
        <f>ROUND(D36*1.02,2)</f>
        <v>2.2999999999999998</v>
      </c>
      <c r="E37" s="33"/>
      <c r="F37" s="33"/>
      <c r="G37" s="33"/>
      <c r="H37" s="4"/>
      <c r="I37" s="33"/>
      <c r="J37" s="337"/>
      <c r="K37" s="338"/>
      <c r="L37" s="338"/>
      <c r="M37" s="338"/>
      <c r="N37" s="338"/>
      <c r="O37" s="339"/>
      <c r="P37" s="205"/>
    </row>
    <row r="38" spans="1:56" s="25" customFormat="1" ht="14.25">
      <c r="A38" s="19" t="s">
        <v>1475</v>
      </c>
      <c r="B38" s="24" t="s">
        <v>319</v>
      </c>
      <c r="C38" s="13" t="s">
        <v>30</v>
      </c>
      <c r="D38" s="10">
        <v>1</v>
      </c>
      <c r="E38" s="36"/>
      <c r="F38" s="4"/>
      <c r="G38" s="4"/>
      <c r="H38" s="4"/>
      <c r="I38" s="4"/>
      <c r="J38" s="337"/>
      <c r="K38" s="338"/>
      <c r="L38" s="338"/>
      <c r="M38" s="338"/>
      <c r="N38" s="338"/>
      <c r="O38" s="339"/>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row>
    <row r="39" spans="1:56" s="25" customFormat="1" ht="14.25">
      <c r="A39" s="19" t="s">
        <v>1476</v>
      </c>
      <c r="B39" s="118" t="s">
        <v>320</v>
      </c>
      <c r="C39" s="226" t="s">
        <v>321</v>
      </c>
      <c r="D39" s="9">
        <f>ROUND(D36/15,2)</f>
        <v>0.15</v>
      </c>
      <c r="E39" s="33"/>
      <c r="F39" s="33"/>
      <c r="G39" s="33"/>
      <c r="H39" s="4"/>
      <c r="I39" s="33"/>
      <c r="J39" s="337"/>
      <c r="K39" s="338"/>
      <c r="L39" s="338"/>
      <c r="M39" s="338"/>
      <c r="N39" s="338"/>
      <c r="O39" s="339"/>
      <c r="P39" s="205"/>
    </row>
    <row r="40" spans="1:56" s="124" customFormat="1" ht="14.25">
      <c r="A40" s="106">
        <v>9</v>
      </c>
      <c r="B40" s="174" t="s">
        <v>80</v>
      </c>
      <c r="C40" s="116" t="s">
        <v>14</v>
      </c>
      <c r="D40" s="140">
        <v>45</v>
      </c>
      <c r="E40" s="4"/>
      <c r="F40" s="4"/>
      <c r="G40" s="4"/>
      <c r="H40" s="112"/>
      <c r="I40" s="112"/>
      <c r="J40" s="337"/>
      <c r="K40" s="338"/>
      <c r="L40" s="338"/>
      <c r="M40" s="338"/>
      <c r="N40" s="338"/>
      <c r="O40" s="339"/>
    </row>
    <row r="41" spans="1:56" s="124" customFormat="1" ht="14.25">
      <c r="A41" s="19" t="s">
        <v>1386</v>
      </c>
      <c r="B41" s="203" t="s">
        <v>133</v>
      </c>
      <c r="C41" s="139" t="s">
        <v>14</v>
      </c>
      <c r="D41" s="140">
        <f>ROUND(D40*1.05,2)</f>
        <v>47.25</v>
      </c>
      <c r="E41" s="4"/>
      <c r="F41" s="141"/>
      <c r="G41" s="112"/>
      <c r="H41" s="4"/>
      <c r="I41" s="112"/>
      <c r="J41" s="337"/>
      <c r="K41" s="338"/>
      <c r="L41" s="338"/>
      <c r="M41" s="338"/>
      <c r="N41" s="338"/>
      <c r="O41" s="339"/>
      <c r="P41" s="117"/>
    </row>
    <row r="42" spans="1:56" s="124" customFormat="1" ht="14.25">
      <c r="A42" s="19" t="s">
        <v>1387</v>
      </c>
      <c r="B42" s="24" t="s">
        <v>134</v>
      </c>
      <c r="C42" s="139" t="s">
        <v>51</v>
      </c>
      <c r="D42" s="140">
        <f>ROUND(D40*4,2)</f>
        <v>180</v>
      </c>
      <c r="E42" s="4"/>
      <c r="F42" s="141"/>
      <c r="G42" s="112"/>
      <c r="H42" s="4"/>
      <c r="I42" s="112"/>
      <c r="J42" s="337"/>
      <c r="K42" s="338"/>
      <c r="L42" s="338"/>
      <c r="M42" s="338"/>
      <c r="N42" s="338"/>
      <c r="O42" s="339"/>
      <c r="P42" s="117"/>
    </row>
    <row r="43" spans="1:56" s="124" customFormat="1" ht="14.25">
      <c r="A43" s="19" t="s">
        <v>1388</v>
      </c>
      <c r="B43" s="24" t="s">
        <v>52</v>
      </c>
      <c r="C43" s="139" t="s">
        <v>53</v>
      </c>
      <c r="D43" s="140">
        <f>ROUND(D40*11/100,2)</f>
        <v>4.95</v>
      </c>
      <c r="E43" s="4"/>
      <c r="F43" s="141"/>
      <c r="G43" s="112"/>
      <c r="H43" s="11"/>
      <c r="I43" s="112"/>
      <c r="J43" s="337"/>
      <c r="K43" s="338"/>
      <c r="L43" s="338"/>
      <c r="M43" s="338"/>
      <c r="N43" s="338"/>
      <c r="O43" s="339"/>
      <c r="P43" s="117"/>
    </row>
    <row r="44" spans="1:56" s="124" customFormat="1" ht="14.25">
      <c r="A44" s="19" t="s">
        <v>1389</v>
      </c>
      <c r="B44" s="24" t="s">
        <v>74</v>
      </c>
      <c r="C44" s="139" t="s">
        <v>40</v>
      </c>
      <c r="D44" s="140">
        <f>ROUND(D40*0.33,2)</f>
        <v>14.85</v>
      </c>
      <c r="E44" s="4"/>
      <c r="F44" s="112"/>
      <c r="G44" s="112"/>
      <c r="H44" s="4"/>
      <c r="I44" s="112"/>
      <c r="J44" s="337"/>
      <c r="K44" s="338"/>
      <c r="L44" s="338"/>
      <c r="M44" s="338"/>
      <c r="N44" s="338"/>
      <c r="O44" s="339"/>
      <c r="P44" s="117"/>
    </row>
    <row r="45" spans="1:56" s="25" customFormat="1" ht="14.25">
      <c r="A45" s="106"/>
      <c r="B45" s="180" t="s">
        <v>1071</v>
      </c>
      <c r="C45" s="13"/>
      <c r="D45" s="9"/>
      <c r="E45" s="33"/>
      <c r="F45" s="33"/>
      <c r="G45" s="4"/>
      <c r="H45" s="4"/>
      <c r="I45" s="4"/>
      <c r="J45" s="4"/>
      <c r="K45" s="4"/>
      <c r="L45" s="4"/>
      <c r="M45" s="4"/>
      <c r="N45" s="4"/>
      <c r="O45" s="20"/>
      <c r="P45" s="117"/>
    </row>
    <row r="46" spans="1:56" s="25" customFormat="1" ht="14.25">
      <c r="A46" s="106">
        <v>10</v>
      </c>
      <c r="B46" s="49" t="s">
        <v>290</v>
      </c>
      <c r="C46" s="13" t="s">
        <v>14</v>
      </c>
      <c r="D46" s="9">
        <v>21.7</v>
      </c>
      <c r="E46" s="33"/>
      <c r="F46" s="40"/>
      <c r="G46" s="4"/>
      <c r="H46" s="34"/>
      <c r="I46" s="4"/>
      <c r="J46" s="337"/>
      <c r="K46" s="338"/>
      <c r="L46" s="338"/>
      <c r="M46" s="338"/>
      <c r="N46" s="338"/>
      <c r="O46" s="339"/>
    </row>
    <row r="47" spans="1:56" s="25" customFormat="1" ht="14.25">
      <c r="A47" s="19" t="s">
        <v>1390</v>
      </c>
      <c r="B47" s="24" t="s">
        <v>291</v>
      </c>
      <c r="C47" s="99" t="s">
        <v>14</v>
      </c>
      <c r="D47" s="100">
        <f>ROUND(D46*1.15,2)</f>
        <v>24.96</v>
      </c>
      <c r="E47" s="4"/>
      <c r="F47" s="4"/>
      <c r="G47" s="4"/>
      <c r="H47" s="4"/>
      <c r="I47" s="4"/>
      <c r="J47" s="337"/>
      <c r="K47" s="338"/>
      <c r="L47" s="338"/>
      <c r="M47" s="338"/>
      <c r="N47" s="338"/>
      <c r="O47" s="339"/>
    </row>
    <row r="48" spans="1:56" ht="24">
      <c r="A48" s="106">
        <v>11</v>
      </c>
      <c r="B48" s="158" t="s">
        <v>1065</v>
      </c>
      <c r="C48" s="116" t="s">
        <v>26</v>
      </c>
      <c r="D48" s="242">
        <f>ROUND(D46*0.07,2)</f>
        <v>1.52</v>
      </c>
      <c r="E48" s="33"/>
      <c r="F48" s="4"/>
      <c r="G48" s="4"/>
      <c r="H48" s="33"/>
      <c r="I48" s="4"/>
      <c r="J48" s="337"/>
      <c r="K48" s="338"/>
      <c r="L48" s="338"/>
      <c r="M48" s="338"/>
      <c r="N48" s="338"/>
      <c r="O48" s="339"/>
    </row>
    <row r="49" spans="1:56" s="25" customFormat="1" ht="14.25">
      <c r="A49" s="19" t="s">
        <v>1393</v>
      </c>
      <c r="B49" s="118" t="s">
        <v>1066</v>
      </c>
      <c r="C49" s="226" t="s">
        <v>26</v>
      </c>
      <c r="D49" s="9">
        <f>ROUND(D48*1.08,2)</f>
        <v>1.64</v>
      </c>
      <c r="E49" s="33"/>
      <c r="F49" s="33"/>
      <c r="G49" s="33"/>
      <c r="H49" s="100"/>
      <c r="I49" s="33"/>
      <c r="J49" s="337"/>
      <c r="K49" s="338"/>
      <c r="L49" s="338"/>
      <c r="M49" s="338"/>
      <c r="N49" s="338"/>
      <c r="O49" s="339"/>
      <c r="P49" s="205"/>
    </row>
    <row r="50" spans="1:56" s="25" customFormat="1" ht="14.25">
      <c r="A50" s="19" t="s">
        <v>1394</v>
      </c>
      <c r="B50" s="24" t="s">
        <v>341</v>
      </c>
      <c r="C50" s="13" t="s">
        <v>30</v>
      </c>
      <c r="D50" s="10">
        <v>1</v>
      </c>
      <c r="E50" s="36"/>
      <c r="F50" s="4"/>
      <c r="G50" s="4"/>
      <c r="H50" s="129"/>
      <c r="I50" s="4"/>
      <c r="J50" s="337"/>
      <c r="K50" s="338"/>
      <c r="L50" s="338"/>
      <c r="M50" s="338"/>
      <c r="N50" s="338"/>
      <c r="O50" s="339"/>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row>
    <row r="51" spans="1:56" s="25" customFormat="1" ht="14.25">
      <c r="A51" s="19" t="s">
        <v>1395</v>
      </c>
      <c r="B51" s="24" t="s">
        <v>319</v>
      </c>
      <c r="C51" s="13" t="s">
        <v>30</v>
      </c>
      <c r="D51" s="10">
        <v>1</v>
      </c>
      <c r="E51" s="36"/>
      <c r="F51" s="4"/>
      <c r="G51" s="4"/>
      <c r="H51" s="4"/>
      <c r="I51" s="4"/>
      <c r="J51" s="337"/>
      <c r="K51" s="338"/>
      <c r="L51" s="338"/>
      <c r="M51" s="338"/>
      <c r="N51" s="338"/>
      <c r="O51" s="339"/>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row>
    <row r="52" spans="1:56" s="25" customFormat="1" ht="14.25">
      <c r="A52" s="19" t="s">
        <v>1396</v>
      </c>
      <c r="B52" s="118" t="s">
        <v>320</v>
      </c>
      <c r="C52" s="226" t="s">
        <v>321</v>
      </c>
      <c r="D52" s="9">
        <f>ROUND(D48/15,2)</f>
        <v>0.1</v>
      </c>
      <c r="E52" s="33"/>
      <c r="F52" s="33"/>
      <c r="G52" s="33"/>
      <c r="H52" s="4"/>
      <c r="I52" s="33"/>
      <c r="J52" s="337"/>
      <c r="K52" s="338"/>
      <c r="L52" s="338"/>
      <c r="M52" s="338"/>
      <c r="N52" s="338"/>
      <c r="O52" s="339"/>
      <c r="P52" s="205"/>
    </row>
    <row r="53" spans="1:56" s="25" customFormat="1" ht="14.25">
      <c r="A53" s="106">
        <v>12</v>
      </c>
      <c r="B53" s="49" t="s">
        <v>1067</v>
      </c>
      <c r="C53" s="13" t="s">
        <v>14</v>
      </c>
      <c r="D53" s="9">
        <f>D46</f>
        <v>21.7</v>
      </c>
      <c r="E53" s="33"/>
      <c r="F53" s="33"/>
      <c r="G53" s="4"/>
      <c r="H53" s="34"/>
      <c r="I53" s="4"/>
      <c r="J53" s="4"/>
      <c r="K53" s="4"/>
      <c r="L53" s="4"/>
      <c r="M53" s="4"/>
      <c r="N53" s="4"/>
      <c r="O53" s="20"/>
    </row>
    <row r="54" spans="1:56" s="25" customFormat="1" ht="14.25">
      <c r="A54" s="106">
        <f t="shared" si="0"/>
        <v>13</v>
      </c>
      <c r="B54" s="49" t="s">
        <v>290</v>
      </c>
      <c r="C54" s="13" t="s">
        <v>14</v>
      </c>
      <c r="D54" s="9">
        <f>D53</f>
        <v>21.7</v>
      </c>
      <c r="E54" s="33"/>
      <c r="F54" s="40"/>
      <c r="G54" s="4"/>
      <c r="H54" s="34"/>
      <c r="I54" s="4"/>
      <c r="J54" s="337"/>
      <c r="K54" s="338"/>
      <c r="L54" s="338"/>
      <c r="M54" s="338"/>
      <c r="N54" s="338"/>
      <c r="O54" s="339"/>
    </row>
    <row r="55" spans="1:56" s="25" customFormat="1" ht="14.25">
      <c r="A55" s="19" t="s">
        <v>1365</v>
      </c>
      <c r="B55" s="24" t="s">
        <v>291</v>
      </c>
      <c r="C55" s="99" t="s">
        <v>14</v>
      </c>
      <c r="D55" s="100">
        <f>ROUND(D54*1.15,2)</f>
        <v>24.96</v>
      </c>
      <c r="E55" s="4"/>
      <c r="F55" s="4"/>
      <c r="G55" s="4"/>
      <c r="H55" s="4"/>
      <c r="I55" s="4"/>
      <c r="J55" s="337"/>
      <c r="K55" s="338"/>
      <c r="L55" s="338"/>
      <c r="M55" s="338"/>
      <c r="N55" s="338"/>
      <c r="O55" s="339"/>
    </row>
    <row r="56" spans="1:56">
      <c r="A56" s="106">
        <v>14</v>
      </c>
      <c r="B56" s="49" t="s">
        <v>303</v>
      </c>
      <c r="C56" s="13" t="s">
        <v>14</v>
      </c>
      <c r="D56" s="9">
        <f>D54</f>
        <v>21.7</v>
      </c>
      <c r="E56" s="33"/>
      <c r="F56" s="33"/>
      <c r="G56" s="4"/>
      <c r="H56" s="4"/>
      <c r="I56" s="4"/>
      <c r="J56" s="337"/>
      <c r="K56" s="338"/>
      <c r="L56" s="338"/>
      <c r="M56" s="338"/>
      <c r="N56" s="338"/>
      <c r="O56" s="339"/>
    </row>
    <row r="57" spans="1:56">
      <c r="A57" s="19" t="s">
        <v>1402</v>
      </c>
      <c r="B57" s="24" t="s">
        <v>1068</v>
      </c>
      <c r="C57" s="13" t="s">
        <v>14</v>
      </c>
      <c r="D57" s="9">
        <f>ROUND(D56*1.05,2)</f>
        <v>22.79</v>
      </c>
      <c r="E57" s="36"/>
      <c r="F57" s="36"/>
      <c r="G57" s="4"/>
      <c r="H57" s="4"/>
      <c r="I57" s="4"/>
      <c r="J57" s="337"/>
      <c r="K57" s="338"/>
      <c r="L57" s="338"/>
      <c r="M57" s="338"/>
      <c r="N57" s="338"/>
      <c r="O57" s="339"/>
    </row>
    <row r="58" spans="1:56" s="25" customFormat="1" ht="14.25">
      <c r="A58" s="19" t="s">
        <v>1403</v>
      </c>
      <c r="B58" s="24" t="s">
        <v>304</v>
      </c>
      <c r="C58" s="13" t="s">
        <v>29</v>
      </c>
      <c r="D58" s="10">
        <f>ROUND(D56*4.5,0)</f>
        <v>98</v>
      </c>
      <c r="E58" s="33"/>
      <c r="F58" s="33"/>
      <c r="G58" s="4"/>
      <c r="H58" s="4"/>
      <c r="I58" s="4"/>
      <c r="J58" s="337"/>
      <c r="K58" s="338"/>
      <c r="L58" s="338"/>
      <c r="M58" s="338"/>
      <c r="N58" s="338"/>
      <c r="O58" s="339"/>
    </row>
    <row r="59" spans="1:56" ht="24">
      <c r="A59" s="106">
        <v>15</v>
      </c>
      <c r="B59" s="158" t="s">
        <v>1069</v>
      </c>
      <c r="C59" s="116" t="s">
        <v>26</v>
      </c>
      <c r="D59" s="242">
        <f>ROUND(D56*0.05,2)</f>
        <v>1.0900000000000001</v>
      </c>
      <c r="E59" s="33"/>
      <c r="F59" s="4"/>
      <c r="G59" s="4"/>
      <c r="H59" s="33"/>
      <c r="I59" s="4"/>
      <c r="J59" s="337"/>
      <c r="K59" s="338"/>
      <c r="L59" s="338"/>
      <c r="M59" s="338"/>
      <c r="N59" s="338"/>
      <c r="O59" s="339"/>
    </row>
    <row r="60" spans="1:56" s="25" customFormat="1" ht="14.25">
      <c r="A60" s="19" t="s">
        <v>1368</v>
      </c>
      <c r="B60" s="118" t="s">
        <v>1070</v>
      </c>
      <c r="C60" s="226" t="s">
        <v>26</v>
      </c>
      <c r="D60" s="9">
        <f>ROUND(D59*1.02,2)</f>
        <v>1.1100000000000001</v>
      </c>
      <c r="E60" s="33"/>
      <c r="F60" s="33"/>
      <c r="G60" s="33"/>
      <c r="H60" s="4"/>
      <c r="I60" s="33"/>
      <c r="J60" s="337"/>
      <c r="K60" s="338"/>
      <c r="L60" s="338"/>
      <c r="M60" s="338"/>
      <c r="N60" s="338"/>
      <c r="O60" s="339"/>
      <c r="P60" s="205"/>
    </row>
    <row r="61" spans="1:56" s="25" customFormat="1" ht="14.25">
      <c r="A61" s="19" t="s">
        <v>1435</v>
      </c>
      <c r="B61" s="24" t="s">
        <v>319</v>
      </c>
      <c r="C61" s="13" t="s">
        <v>30</v>
      </c>
      <c r="D61" s="10">
        <v>1</v>
      </c>
      <c r="E61" s="36"/>
      <c r="F61" s="4"/>
      <c r="G61" s="4"/>
      <c r="H61" s="4"/>
      <c r="I61" s="4"/>
      <c r="J61" s="337"/>
      <c r="K61" s="338"/>
      <c r="L61" s="338"/>
      <c r="M61" s="338"/>
      <c r="N61" s="338"/>
      <c r="O61" s="339"/>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row>
    <row r="62" spans="1:56" s="25" customFormat="1" ht="14.25">
      <c r="A62" s="19" t="s">
        <v>1436</v>
      </c>
      <c r="B62" s="118" t="s">
        <v>320</v>
      </c>
      <c r="C62" s="226" t="s">
        <v>321</v>
      </c>
      <c r="D62" s="9">
        <f>ROUND(D59/15,2)</f>
        <v>7.0000000000000007E-2</v>
      </c>
      <c r="E62" s="33"/>
      <c r="F62" s="33"/>
      <c r="G62" s="33"/>
      <c r="H62" s="4"/>
      <c r="I62" s="33"/>
      <c r="J62" s="337"/>
      <c r="K62" s="338"/>
      <c r="L62" s="338"/>
      <c r="M62" s="338"/>
      <c r="N62" s="338"/>
      <c r="O62" s="339"/>
      <c r="P62" s="205"/>
    </row>
    <row r="63" spans="1:56">
      <c r="A63" s="106">
        <v>16</v>
      </c>
      <c r="B63" s="110" t="s">
        <v>215</v>
      </c>
      <c r="C63" s="17" t="s">
        <v>14</v>
      </c>
      <c r="D63" s="120">
        <f>D56</f>
        <v>21.7</v>
      </c>
      <c r="E63" s="4"/>
      <c r="F63" s="4"/>
      <c r="G63" s="4"/>
      <c r="H63" s="4"/>
      <c r="I63" s="112"/>
      <c r="J63" s="337"/>
      <c r="K63" s="338"/>
      <c r="L63" s="338"/>
      <c r="M63" s="338"/>
      <c r="N63" s="338"/>
      <c r="O63" s="339"/>
    </row>
    <row r="64" spans="1:56">
      <c r="A64" s="19" t="s">
        <v>1405</v>
      </c>
      <c r="B64" s="121" t="s">
        <v>129</v>
      </c>
      <c r="C64" s="204" t="s">
        <v>40</v>
      </c>
      <c r="D64" s="120">
        <f>ROUND(D63*0.1,2)</f>
        <v>2.17</v>
      </c>
      <c r="E64" s="4"/>
      <c r="F64" s="150"/>
      <c r="G64" s="16"/>
      <c r="H64" s="4"/>
      <c r="I64" s="16"/>
      <c r="J64" s="337"/>
      <c r="K64" s="338"/>
      <c r="L64" s="338"/>
      <c r="M64" s="338"/>
      <c r="N64" s="338"/>
      <c r="O64" s="339"/>
    </row>
    <row r="65" spans="1:56">
      <c r="A65" s="19" t="s">
        <v>1438</v>
      </c>
      <c r="B65" s="101" t="s">
        <v>130</v>
      </c>
      <c r="C65" s="204" t="s">
        <v>38</v>
      </c>
      <c r="D65" s="9">
        <f>ROUND(D63*2.5,2)</f>
        <v>54.25</v>
      </c>
      <c r="E65" s="4"/>
      <c r="F65" s="40"/>
      <c r="G65" s="16"/>
      <c r="H65" s="4"/>
      <c r="I65" s="16"/>
      <c r="J65" s="337"/>
      <c r="K65" s="338"/>
      <c r="L65" s="338"/>
      <c r="M65" s="338"/>
      <c r="N65" s="338"/>
      <c r="O65" s="339"/>
    </row>
    <row r="66" spans="1:56">
      <c r="A66" s="19" t="s">
        <v>1439</v>
      </c>
      <c r="B66" s="121" t="s">
        <v>131</v>
      </c>
      <c r="C66" s="204" t="s">
        <v>14</v>
      </c>
      <c r="D66" s="120">
        <f>ROUND(D63*1.05,2)</f>
        <v>22.79</v>
      </c>
      <c r="E66" s="4"/>
      <c r="F66" s="150"/>
      <c r="G66" s="16"/>
      <c r="H66" s="4"/>
      <c r="I66" s="16"/>
      <c r="J66" s="337"/>
      <c r="K66" s="338"/>
      <c r="L66" s="338"/>
      <c r="M66" s="338"/>
      <c r="N66" s="338"/>
      <c r="O66" s="339"/>
    </row>
    <row r="67" spans="1:56">
      <c r="A67" s="19" t="s">
        <v>1520</v>
      </c>
      <c r="B67" s="121" t="s">
        <v>132</v>
      </c>
      <c r="C67" s="204" t="s">
        <v>42</v>
      </c>
      <c r="D67" s="120">
        <f>ROUND(D63*1.05,2)</f>
        <v>22.79</v>
      </c>
      <c r="E67" s="4"/>
      <c r="F67" s="150"/>
      <c r="G67" s="16"/>
      <c r="H67" s="4"/>
      <c r="I67" s="16"/>
      <c r="J67" s="337"/>
      <c r="K67" s="338"/>
      <c r="L67" s="338"/>
      <c r="M67" s="338"/>
      <c r="N67" s="338"/>
      <c r="O67" s="339"/>
    </row>
    <row r="68" spans="1:56" s="124" customFormat="1" ht="14.25">
      <c r="A68" s="106">
        <v>17</v>
      </c>
      <c r="B68" s="174" t="s">
        <v>305</v>
      </c>
      <c r="C68" s="116" t="s">
        <v>14</v>
      </c>
      <c r="D68" s="140">
        <f>D63</f>
        <v>21.7</v>
      </c>
      <c r="E68" s="4"/>
      <c r="F68" s="4"/>
      <c r="G68" s="4"/>
      <c r="H68" s="112"/>
      <c r="I68" s="112"/>
      <c r="J68" s="337"/>
      <c r="K68" s="338"/>
      <c r="L68" s="338"/>
      <c r="M68" s="338"/>
      <c r="N68" s="338"/>
      <c r="O68" s="339"/>
    </row>
    <row r="69" spans="1:56" s="124" customFormat="1" ht="14.25">
      <c r="A69" s="19" t="s">
        <v>1364</v>
      </c>
      <c r="B69" s="203" t="s">
        <v>1072</v>
      </c>
      <c r="C69" s="139" t="s">
        <v>14</v>
      </c>
      <c r="D69" s="140">
        <f>ROUND(D68*1.05,2)</f>
        <v>22.79</v>
      </c>
      <c r="E69" s="4"/>
      <c r="F69" s="141"/>
      <c r="G69" s="112"/>
      <c r="H69" s="4"/>
      <c r="I69" s="112"/>
      <c r="J69" s="337"/>
      <c r="K69" s="338"/>
      <c r="L69" s="338"/>
      <c r="M69" s="338"/>
      <c r="N69" s="338"/>
      <c r="O69" s="339"/>
      <c r="P69" s="117"/>
    </row>
    <row r="70" spans="1:56" s="124" customFormat="1" ht="14.25">
      <c r="A70" s="19" t="s">
        <v>1406</v>
      </c>
      <c r="B70" s="24" t="s">
        <v>134</v>
      </c>
      <c r="C70" s="139" t="s">
        <v>51</v>
      </c>
      <c r="D70" s="140">
        <f>ROUND(D68*4,2)</f>
        <v>86.8</v>
      </c>
      <c r="E70" s="4"/>
      <c r="F70" s="141"/>
      <c r="G70" s="112"/>
      <c r="H70" s="4"/>
      <c r="I70" s="112"/>
      <c r="J70" s="337"/>
      <c r="K70" s="338"/>
      <c r="L70" s="338"/>
      <c r="M70" s="338"/>
      <c r="N70" s="338"/>
      <c r="O70" s="339"/>
      <c r="P70" s="117"/>
    </row>
    <row r="71" spans="1:56" s="124" customFormat="1" ht="14.25">
      <c r="A71" s="19" t="s">
        <v>1407</v>
      </c>
      <c r="B71" s="24" t="s">
        <v>52</v>
      </c>
      <c r="C71" s="139" t="s">
        <v>53</v>
      </c>
      <c r="D71" s="140">
        <f>ROUND(D68*11/100,2)</f>
        <v>2.39</v>
      </c>
      <c r="E71" s="4"/>
      <c r="F71" s="141"/>
      <c r="G71" s="112"/>
      <c r="H71" s="11"/>
      <c r="I71" s="112"/>
      <c r="J71" s="337"/>
      <c r="K71" s="338"/>
      <c r="L71" s="338"/>
      <c r="M71" s="338"/>
      <c r="N71" s="338"/>
      <c r="O71" s="339"/>
      <c r="P71" s="117"/>
    </row>
    <row r="72" spans="1:56" s="124" customFormat="1" ht="14.25">
      <c r="A72" s="19" t="s">
        <v>1408</v>
      </c>
      <c r="B72" s="24" t="s">
        <v>74</v>
      </c>
      <c r="C72" s="139" t="s">
        <v>40</v>
      </c>
      <c r="D72" s="140">
        <f>ROUND(D68*0.33,2)</f>
        <v>7.16</v>
      </c>
      <c r="E72" s="4"/>
      <c r="F72" s="112"/>
      <c r="G72" s="112"/>
      <c r="H72" s="4"/>
      <c r="I72" s="112"/>
      <c r="J72" s="337"/>
      <c r="K72" s="338"/>
      <c r="L72" s="338"/>
      <c r="M72" s="338"/>
      <c r="N72" s="338"/>
      <c r="O72" s="339"/>
      <c r="P72" s="117"/>
    </row>
    <row r="73" spans="1:56" s="25" customFormat="1" ht="14.25">
      <c r="A73" s="106"/>
      <c r="B73" s="180" t="s">
        <v>1073</v>
      </c>
      <c r="C73" s="13"/>
      <c r="D73" s="9"/>
      <c r="E73" s="33"/>
      <c r="F73" s="33"/>
      <c r="G73" s="4"/>
      <c r="H73" s="4"/>
      <c r="I73" s="4"/>
      <c r="J73" s="4"/>
      <c r="K73" s="4"/>
      <c r="L73" s="4"/>
      <c r="M73" s="4"/>
      <c r="N73" s="4"/>
      <c r="O73" s="20"/>
      <c r="P73" s="117"/>
    </row>
    <row r="74" spans="1:56" s="25" customFormat="1" ht="14.25">
      <c r="A74" s="106">
        <v>18</v>
      </c>
      <c r="B74" s="49" t="s">
        <v>290</v>
      </c>
      <c r="C74" s="13" t="s">
        <v>14</v>
      </c>
      <c r="D74" s="9">
        <v>102.3</v>
      </c>
      <c r="E74" s="33"/>
      <c r="F74" s="40"/>
      <c r="G74" s="4"/>
      <c r="H74" s="34"/>
      <c r="I74" s="4"/>
      <c r="J74" s="337"/>
      <c r="K74" s="338"/>
      <c r="L74" s="338"/>
      <c r="M74" s="338"/>
      <c r="N74" s="338"/>
      <c r="O74" s="339"/>
    </row>
    <row r="75" spans="1:56" s="25" customFormat="1" ht="14.25">
      <c r="A75" s="19" t="s">
        <v>1409</v>
      </c>
      <c r="B75" s="24" t="s">
        <v>291</v>
      </c>
      <c r="C75" s="99" t="s">
        <v>14</v>
      </c>
      <c r="D75" s="100">
        <f>ROUND(D74*1.15,2)</f>
        <v>117.65</v>
      </c>
      <c r="E75" s="4"/>
      <c r="F75" s="4"/>
      <c r="G75" s="4"/>
      <c r="H75" s="4"/>
      <c r="I75" s="4"/>
      <c r="J75" s="337"/>
      <c r="K75" s="338"/>
      <c r="L75" s="338"/>
      <c r="M75" s="338"/>
      <c r="N75" s="338"/>
      <c r="O75" s="339"/>
    </row>
    <row r="76" spans="1:56" ht="24">
      <c r="A76" s="106">
        <v>19</v>
      </c>
      <c r="B76" s="158" t="s">
        <v>1065</v>
      </c>
      <c r="C76" s="116" t="s">
        <v>26</v>
      </c>
      <c r="D76" s="242">
        <f>ROUND(D74*0.07,2)</f>
        <v>7.16</v>
      </c>
      <c r="E76" s="33"/>
      <c r="F76" s="4"/>
      <c r="G76" s="4"/>
      <c r="H76" s="33"/>
      <c r="I76" s="4"/>
      <c r="J76" s="337"/>
      <c r="K76" s="338"/>
      <c r="L76" s="338"/>
      <c r="M76" s="338"/>
      <c r="N76" s="338"/>
      <c r="O76" s="339"/>
    </row>
    <row r="77" spans="1:56" s="25" customFormat="1" ht="14.25">
      <c r="A77" s="19" t="s">
        <v>1414</v>
      </c>
      <c r="B77" s="118" t="s">
        <v>1066</v>
      </c>
      <c r="C77" s="226" t="s">
        <v>26</v>
      </c>
      <c r="D77" s="9">
        <f>ROUND(D76*1.08,2)</f>
        <v>7.73</v>
      </c>
      <c r="E77" s="33"/>
      <c r="F77" s="33"/>
      <c r="G77" s="33"/>
      <c r="H77" s="100"/>
      <c r="I77" s="33"/>
      <c r="J77" s="337"/>
      <c r="K77" s="338"/>
      <c r="L77" s="338"/>
      <c r="M77" s="338"/>
      <c r="N77" s="338"/>
      <c r="O77" s="339"/>
      <c r="P77" s="205"/>
    </row>
    <row r="78" spans="1:56" s="25" customFormat="1" ht="14.25">
      <c r="A78" s="19" t="s">
        <v>1415</v>
      </c>
      <c r="B78" s="24" t="s">
        <v>341</v>
      </c>
      <c r="C78" s="13" t="s">
        <v>30</v>
      </c>
      <c r="D78" s="10">
        <v>1</v>
      </c>
      <c r="E78" s="36"/>
      <c r="F78" s="4"/>
      <c r="G78" s="4"/>
      <c r="H78" s="129"/>
      <c r="I78" s="4"/>
      <c r="J78" s="337"/>
      <c r="K78" s="338"/>
      <c r="L78" s="338"/>
      <c r="M78" s="338"/>
      <c r="N78" s="338"/>
      <c r="O78" s="339"/>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row>
    <row r="79" spans="1:56" s="25" customFormat="1" ht="14.25">
      <c r="A79" s="19" t="s">
        <v>1416</v>
      </c>
      <c r="B79" s="24" t="s">
        <v>319</v>
      </c>
      <c r="C79" s="13" t="s">
        <v>30</v>
      </c>
      <c r="D79" s="10">
        <v>1</v>
      </c>
      <c r="E79" s="36"/>
      <c r="F79" s="4"/>
      <c r="G79" s="4"/>
      <c r="H79" s="4"/>
      <c r="I79" s="4"/>
      <c r="J79" s="337"/>
      <c r="K79" s="338"/>
      <c r="L79" s="338"/>
      <c r="M79" s="338"/>
      <c r="N79" s="338"/>
      <c r="O79" s="339"/>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row>
    <row r="80" spans="1:56" s="25" customFormat="1" ht="14.25">
      <c r="A80" s="19" t="s">
        <v>1440</v>
      </c>
      <c r="B80" s="118" t="s">
        <v>320</v>
      </c>
      <c r="C80" s="226" t="s">
        <v>321</v>
      </c>
      <c r="D80" s="9">
        <f>ROUND(D76/15,2)</f>
        <v>0.48</v>
      </c>
      <c r="E80" s="33"/>
      <c r="F80" s="33"/>
      <c r="G80" s="33"/>
      <c r="H80" s="4"/>
      <c r="I80" s="33"/>
      <c r="J80" s="337"/>
      <c r="K80" s="338"/>
      <c r="L80" s="338"/>
      <c r="M80" s="338"/>
      <c r="N80" s="338"/>
      <c r="O80" s="339"/>
      <c r="P80" s="205"/>
    </row>
    <row r="81" spans="1:56" s="25" customFormat="1" ht="24">
      <c r="A81" s="106"/>
      <c r="B81" s="2" t="s">
        <v>1521</v>
      </c>
      <c r="C81" s="13" t="s">
        <v>14</v>
      </c>
      <c r="D81" s="9">
        <f>D74</f>
        <v>102.3</v>
      </c>
      <c r="E81" s="33"/>
      <c r="F81" s="33"/>
      <c r="G81" s="4"/>
      <c r="H81" s="34"/>
      <c r="I81" s="4"/>
      <c r="J81" s="4"/>
      <c r="K81" s="4"/>
      <c r="L81" s="4"/>
      <c r="M81" s="4"/>
      <c r="N81" s="4"/>
      <c r="O81" s="20"/>
    </row>
    <row r="82" spans="1:56" s="25" customFormat="1" ht="14.25">
      <c r="A82" s="106">
        <v>20</v>
      </c>
      <c r="B82" s="49" t="s">
        <v>290</v>
      </c>
      <c r="C82" s="13" t="s">
        <v>14</v>
      </c>
      <c r="D82" s="9">
        <f>D81</f>
        <v>102.3</v>
      </c>
      <c r="E82" s="33"/>
      <c r="F82" s="40"/>
      <c r="G82" s="4"/>
      <c r="H82" s="34"/>
      <c r="I82" s="4"/>
      <c r="J82" s="337"/>
      <c r="K82" s="338"/>
      <c r="L82" s="338"/>
      <c r="M82" s="338"/>
      <c r="N82" s="338"/>
      <c r="O82" s="339"/>
    </row>
    <row r="83" spans="1:56" s="25" customFormat="1" ht="14.25">
      <c r="A83" s="19" t="s">
        <v>1417</v>
      </c>
      <c r="B83" s="24" t="s">
        <v>291</v>
      </c>
      <c r="C83" s="99" t="s">
        <v>14</v>
      </c>
      <c r="D83" s="100">
        <f>ROUND(D82*1.15,2)</f>
        <v>117.65</v>
      </c>
      <c r="E83" s="4"/>
      <c r="F83" s="4"/>
      <c r="G83" s="4"/>
      <c r="H83" s="4"/>
      <c r="I83" s="4"/>
      <c r="J83" s="337"/>
      <c r="K83" s="338"/>
      <c r="L83" s="338"/>
      <c r="M83" s="338"/>
      <c r="N83" s="338"/>
      <c r="O83" s="339"/>
    </row>
    <row r="84" spans="1:56">
      <c r="A84" s="106">
        <v>21</v>
      </c>
      <c r="B84" s="49" t="s">
        <v>303</v>
      </c>
      <c r="C84" s="13" t="s">
        <v>14</v>
      </c>
      <c r="D84" s="9">
        <f>D82</f>
        <v>102.3</v>
      </c>
      <c r="E84" s="33"/>
      <c r="F84" s="33"/>
      <c r="G84" s="4"/>
      <c r="H84" s="4"/>
      <c r="I84" s="4"/>
      <c r="J84" s="337"/>
      <c r="K84" s="338"/>
      <c r="L84" s="338"/>
      <c r="M84" s="338"/>
      <c r="N84" s="338"/>
      <c r="O84" s="339"/>
    </row>
    <row r="85" spans="1:56">
      <c r="A85" s="19" t="s">
        <v>1418</v>
      </c>
      <c r="B85" s="24" t="s">
        <v>1068</v>
      </c>
      <c r="C85" s="13" t="s">
        <v>14</v>
      </c>
      <c r="D85" s="9">
        <f>ROUND(D84*1.05,2)</f>
        <v>107.42</v>
      </c>
      <c r="E85" s="36"/>
      <c r="F85" s="36"/>
      <c r="G85" s="4"/>
      <c r="H85" s="4"/>
      <c r="I85" s="4"/>
      <c r="J85" s="337"/>
      <c r="K85" s="338"/>
      <c r="L85" s="338"/>
      <c r="M85" s="338"/>
      <c r="N85" s="338"/>
      <c r="O85" s="339"/>
    </row>
    <row r="86" spans="1:56" s="25" customFormat="1" ht="14.25">
      <c r="A86" s="19" t="s">
        <v>1477</v>
      </c>
      <c r="B86" s="24" t="s">
        <v>304</v>
      </c>
      <c r="C86" s="13" t="s">
        <v>29</v>
      </c>
      <c r="D86" s="10">
        <f>ROUND(D84*4.5,0)</f>
        <v>460</v>
      </c>
      <c r="E86" s="33"/>
      <c r="F86" s="33"/>
      <c r="G86" s="4"/>
      <c r="H86" s="4"/>
      <c r="I86" s="4"/>
      <c r="J86" s="337"/>
      <c r="K86" s="338"/>
      <c r="L86" s="338"/>
      <c r="M86" s="338"/>
      <c r="N86" s="338"/>
      <c r="O86" s="339"/>
    </row>
    <row r="87" spans="1:56" ht="24">
      <c r="A87" s="106">
        <v>22</v>
      </c>
      <c r="B87" s="158" t="s">
        <v>1074</v>
      </c>
      <c r="C87" s="116" t="s">
        <v>26</v>
      </c>
      <c r="D87" s="242">
        <f>ROUND(D84*0.055,2)</f>
        <v>5.63</v>
      </c>
      <c r="E87" s="33"/>
      <c r="F87" s="4"/>
      <c r="G87" s="4"/>
      <c r="H87" s="33"/>
      <c r="I87" s="4"/>
      <c r="J87" s="337"/>
      <c r="K87" s="338"/>
      <c r="L87" s="338"/>
      <c r="M87" s="338"/>
      <c r="N87" s="338"/>
      <c r="O87" s="339"/>
    </row>
    <row r="88" spans="1:56" s="25" customFormat="1" ht="14.25">
      <c r="A88" s="19" t="s">
        <v>1443</v>
      </c>
      <c r="B88" s="118" t="s">
        <v>1070</v>
      </c>
      <c r="C88" s="226" t="s">
        <v>26</v>
      </c>
      <c r="D88" s="9">
        <f>ROUND(D87*1.02,2)</f>
        <v>5.74</v>
      </c>
      <c r="E88" s="33"/>
      <c r="F88" s="33"/>
      <c r="G88" s="33"/>
      <c r="H88" s="4"/>
      <c r="I88" s="33"/>
      <c r="J88" s="337"/>
      <c r="K88" s="338"/>
      <c r="L88" s="338"/>
      <c r="M88" s="338"/>
      <c r="N88" s="338"/>
      <c r="O88" s="339"/>
      <c r="P88" s="205"/>
    </row>
    <row r="89" spans="1:56" s="25" customFormat="1" ht="14.25">
      <c r="A89" s="19" t="s">
        <v>1444</v>
      </c>
      <c r="B89" s="24" t="s">
        <v>319</v>
      </c>
      <c r="C89" s="13" t="s">
        <v>30</v>
      </c>
      <c r="D89" s="10">
        <v>1</v>
      </c>
      <c r="E89" s="36"/>
      <c r="F89" s="4"/>
      <c r="G89" s="4"/>
      <c r="H89" s="4"/>
      <c r="I89" s="4"/>
      <c r="J89" s="337"/>
      <c r="K89" s="338"/>
      <c r="L89" s="338"/>
      <c r="M89" s="338"/>
      <c r="N89" s="338"/>
      <c r="O89" s="339"/>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row>
    <row r="90" spans="1:56" s="25" customFormat="1" ht="14.25">
      <c r="A90" s="19" t="s">
        <v>1445</v>
      </c>
      <c r="B90" s="118" t="s">
        <v>320</v>
      </c>
      <c r="C90" s="226" t="s">
        <v>321</v>
      </c>
      <c r="D90" s="9">
        <f>ROUND(D87/15,2)</f>
        <v>0.38</v>
      </c>
      <c r="E90" s="33"/>
      <c r="F90" s="33"/>
      <c r="G90" s="33"/>
      <c r="H90" s="4"/>
      <c r="I90" s="33"/>
      <c r="J90" s="337"/>
      <c r="K90" s="338"/>
      <c r="L90" s="338"/>
      <c r="M90" s="338"/>
      <c r="N90" s="338"/>
      <c r="O90" s="339"/>
      <c r="P90" s="205"/>
    </row>
    <row r="91" spans="1:56" s="252" customFormat="1">
      <c r="A91" s="106">
        <v>23</v>
      </c>
      <c r="B91" s="2" t="s">
        <v>136</v>
      </c>
      <c r="C91" s="13" t="s">
        <v>14</v>
      </c>
      <c r="D91" s="9">
        <f>D74</f>
        <v>102.3</v>
      </c>
      <c r="E91" s="40"/>
      <c r="F91" s="33"/>
      <c r="G91" s="4"/>
      <c r="H91" s="4"/>
      <c r="I91" s="112"/>
      <c r="J91" s="337"/>
      <c r="K91" s="338"/>
      <c r="L91" s="338"/>
      <c r="M91" s="338"/>
      <c r="N91" s="338"/>
      <c r="O91" s="339"/>
      <c r="P91" s="251"/>
    </row>
    <row r="92" spans="1:56" s="252" customFormat="1" ht="24">
      <c r="A92" s="19" t="s">
        <v>1447</v>
      </c>
      <c r="B92" s="21" t="s">
        <v>162</v>
      </c>
      <c r="C92" s="13" t="s">
        <v>14</v>
      </c>
      <c r="D92" s="9">
        <f>ROUND(D91*1.075,2)</f>
        <v>109.97</v>
      </c>
      <c r="E92" s="132"/>
      <c r="F92" s="132"/>
      <c r="G92" s="4"/>
      <c r="H92" s="11"/>
      <c r="I92" s="4"/>
      <c r="J92" s="337"/>
      <c r="K92" s="338"/>
      <c r="L92" s="338"/>
      <c r="M92" s="338"/>
      <c r="N92" s="338"/>
      <c r="O92" s="339"/>
      <c r="P92" s="251"/>
    </row>
    <row r="93" spans="1:56" s="252" customFormat="1">
      <c r="A93" s="19" t="s">
        <v>1448</v>
      </c>
      <c r="B93" s="21" t="s">
        <v>137</v>
      </c>
      <c r="C93" s="13" t="s">
        <v>51</v>
      </c>
      <c r="D93" s="9">
        <f>ROUND(D91*0.35,2)</f>
        <v>35.81</v>
      </c>
      <c r="E93" s="132"/>
      <c r="F93" s="132"/>
      <c r="G93" s="4"/>
      <c r="H93" s="4"/>
      <c r="I93" s="4"/>
      <c r="J93" s="337"/>
      <c r="K93" s="338"/>
      <c r="L93" s="338"/>
      <c r="M93" s="338"/>
      <c r="N93" s="338"/>
      <c r="O93" s="339"/>
      <c r="P93" s="251"/>
    </row>
    <row r="94" spans="1:56" s="252" customFormat="1">
      <c r="A94" s="106">
        <v>24</v>
      </c>
      <c r="B94" s="2" t="s">
        <v>138</v>
      </c>
      <c r="C94" s="13" t="s">
        <v>42</v>
      </c>
      <c r="D94" s="327">
        <f>ROUND(D91*1.17,1)</f>
        <v>119.7</v>
      </c>
      <c r="E94" s="253"/>
      <c r="F94" s="33"/>
      <c r="G94" s="4"/>
      <c r="H94" s="4"/>
      <c r="I94" s="112"/>
      <c r="J94" s="337"/>
      <c r="K94" s="338"/>
      <c r="L94" s="338"/>
      <c r="M94" s="338"/>
      <c r="N94" s="338"/>
      <c r="O94" s="339"/>
      <c r="P94" s="251"/>
    </row>
    <row r="95" spans="1:56" s="252" customFormat="1" ht="24">
      <c r="A95" s="19" t="s">
        <v>1452</v>
      </c>
      <c r="B95" s="101" t="s">
        <v>135</v>
      </c>
      <c r="C95" s="13" t="s">
        <v>42</v>
      </c>
      <c r="D95" s="14">
        <f>ROUND(D94*1.1,1)</f>
        <v>131.69999999999999</v>
      </c>
      <c r="E95" s="40"/>
      <c r="F95" s="40"/>
      <c r="G95" s="16"/>
      <c r="H95" s="4"/>
      <c r="I95" s="16"/>
      <c r="J95" s="337"/>
      <c r="K95" s="338"/>
      <c r="L95" s="338"/>
      <c r="M95" s="338"/>
      <c r="N95" s="338"/>
      <c r="O95" s="339"/>
      <c r="P95" s="251"/>
    </row>
    <row r="96" spans="1:56" s="25" customFormat="1" ht="14.25">
      <c r="A96" s="106"/>
      <c r="B96" s="180" t="s">
        <v>1075</v>
      </c>
      <c r="C96" s="13"/>
      <c r="D96" s="9"/>
      <c r="E96" s="33"/>
      <c r="F96" s="33"/>
      <c r="G96" s="4"/>
      <c r="H96" s="4"/>
      <c r="I96" s="4"/>
      <c r="J96" s="4"/>
      <c r="K96" s="4"/>
      <c r="L96" s="4"/>
      <c r="M96" s="4"/>
      <c r="N96" s="4"/>
      <c r="O96" s="20"/>
      <c r="P96" s="117"/>
    </row>
    <row r="97" spans="1:56" s="25" customFormat="1" ht="14.25">
      <c r="A97" s="106">
        <v>25</v>
      </c>
      <c r="B97" s="49" t="s">
        <v>1076</v>
      </c>
      <c r="C97" s="13" t="s">
        <v>14</v>
      </c>
      <c r="D97" s="9">
        <v>154</v>
      </c>
      <c r="E97" s="33"/>
      <c r="F97" s="33"/>
      <c r="G97" s="4"/>
      <c r="H97" s="34"/>
      <c r="I97" s="4"/>
      <c r="J97" s="337"/>
      <c r="K97" s="338"/>
      <c r="L97" s="338"/>
      <c r="M97" s="338"/>
      <c r="N97" s="338"/>
      <c r="O97" s="339"/>
    </row>
    <row r="98" spans="1:56" s="25" customFormat="1" ht="14.25">
      <c r="A98" s="19" t="s">
        <v>1455</v>
      </c>
      <c r="B98" s="101" t="s">
        <v>1077</v>
      </c>
      <c r="C98" s="17" t="s">
        <v>14</v>
      </c>
      <c r="D98" s="312">
        <f>ROUND(D97*1.05,2)</f>
        <v>161.69999999999999</v>
      </c>
      <c r="E98" s="40"/>
      <c r="F98" s="40"/>
      <c r="G98" s="16"/>
      <c r="H98" s="134"/>
      <c r="I98" s="4"/>
      <c r="J98" s="337"/>
      <c r="K98" s="338"/>
      <c r="L98" s="338"/>
      <c r="M98" s="338"/>
      <c r="N98" s="338"/>
      <c r="O98" s="339"/>
    </row>
    <row r="99" spans="1:56" s="25" customFormat="1" ht="14.25">
      <c r="A99" s="106">
        <v>26</v>
      </c>
      <c r="B99" s="49" t="s">
        <v>290</v>
      </c>
      <c r="C99" s="13" t="s">
        <v>14</v>
      </c>
      <c r="D99" s="9">
        <f>D97</f>
        <v>154</v>
      </c>
      <c r="E99" s="33"/>
      <c r="F99" s="40"/>
      <c r="G99" s="4"/>
      <c r="H99" s="34"/>
      <c r="I99" s="4"/>
      <c r="J99" s="337"/>
      <c r="K99" s="338"/>
      <c r="L99" s="338"/>
      <c r="M99" s="338"/>
      <c r="N99" s="338"/>
      <c r="O99" s="339"/>
    </row>
    <row r="100" spans="1:56" s="25" customFormat="1" ht="14.25">
      <c r="A100" s="19" t="s">
        <v>1456</v>
      </c>
      <c r="B100" s="24" t="s">
        <v>126</v>
      </c>
      <c r="C100" s="35" t="s">
        <v>14</v>
      </c>
      <c r="D100" s="100">
        <f>ROUND(D99*1.15,2)</f>
        <v>177.1</v>
      </c>
      <c r="E100" s="4"/>
      <c r="F100" s="4"/>
      <c r="G100" s="4"/>
      <c r="H100" s="4"/>
      <c r="I100" s="4"/>
      <c r="J100" s="337"/>
      <c r="K100" s="338"/>
      <c r="L100" s="338"/>
      <c r="M100" s="338"/>
      <c r="N100" s="338"/>
      <c r="O100" s="339"/>
    </row>
    <row r="101" spans="1:56">
      <c r="A101" s="106">
        <v>27</v>
      </c>
      <c r="B101" s="49" t="s">
        <v>303</v>
      </c>
      <c r="C101" s="13" t="s">
        <v>14</v>
      </c>
      <c r="D101" s="9">
        <f>D97</f>
        <v>154</v>
      </c>
      <c r="E101" s="33"/>
      <c r="F101" s="33"/>
      <c r="G101" s="4"/>
      <c r="H101" s="4"/>
      <c r="I101" s="4"/>
      <c r="J101" s="337"/>
      <c r="K101" s="338"/>
      <c r="L101" s="338"/>
      <c r="M101" s="338"/>
      <c r="N101" s="338"/>
      <c r="O101" s="339"/>
    </row>
    <row r="102" spans="1:56">
      <c r="A102" s="19" t="s">
        <v>1457</v>
      </c>
      <c r="B102" s="24" t="s">
        <v>1068</v>
      </c>
      <c r="C102" s="13" t="s">
        <v>14</v>
      </c>
      <c r="D102" s="9">
        <f>ROUND(D101*1.05,2)</f>
        <v>161.69999999999999</v>
      </c>
      <c r="E102" s="36"/>
      <c r="F102" s="36"/>
      <c r="G102" s="4"/>
      <c r="H102" s="4"/>
      <c r="I102" s="4"/>
      <c r="J102" s="337"/>
      <c r="K102" s="338"/>
      <c r="L102" s="338"/>
      <c r="M102" s="338"/>
      <c r="N102" s="338"/>
      <c r="O102" s="339"/>
    </row>
    <row r="103" spans="1:56" s="25" customFormat="1" ht="14.25">
      <c r="A103" s="19" t="s">
        <v>1522</v>
      </c>
      <c r="B103" s="24" t="s">
        <v>304</v>
      </c>
      <c r="C103" s="13" t="s">
        <v>29</v>
      </c>
      <c r="D103" s="10">
        <f>ROUND(D101*7,0)</f>
        <v>1078</v>
      </c>
      <c r="E103" s="33"/>
      <c r="F103" s="33"/>
      <c r="G103" s="4"/>
      <c r="H103" s="4"/>
      <c r="I103" s="4"/>
      <c r="J103" s="337"/>
      <c r="K103" s="338"/>
      <c r="L103" s="338"/>
      <c r="M103" s="338"/>
      <c r="N103" s="338"/>
      <c r="O103" s="339"/>
    </row>
    <row r="104" spans="1:56" ht="24">
      <c r="A104" s="106">
        <v>28</v>
      </c>
      <c r="B104" s="158" t="s">
        <v>1078</v>
      </c>
      <c r="C104" s="116" t="s">
        <v>26</v>
      </c>
      <c r="D104" s="242">
        <f>ROUND(D101*0.065,2)</f>
        <v>10.01</v>
      </c>
      <c r="E104" s="33"/>
      <c r="F104" s="4"/>
      <c r="G104" s="4"/>
      <c r="H104" s="33"/>
      <c r="I104" s="4"/>
      <c r="J104" s="337"/>
      <c r="K104" s="338"/>
      <c r="L104" s="338"/>
      <c r="M104" s="338"/>
      <c r="N104" s="338"/>
      <c r="O104" s="339"/>
    </row>
    <row r="105" spans="1:56" s="25" customFormat="1" ht="14.25">
      <c r="A105" s="19" t="s">
        <v>1458</v>
      </c>
      <c r="B105" s="118" t="s">
        <v>1070</v>
      </c>
      <c r="C105" s="226" t="s">
        <v>26</v>
      </c>
      <c r="D105" s="9">
        <f>ROUND(D104*1.02,2)</f>
        <v>10.210000000000001</v>
      </c>
      <c r="E105" s="33"/>
      <c r="F105" s="33"/>
      <c r="G105" s="33"/>
      <c r="H105" s="4"/>
      <c r="I105" s="33"/>
      <c r="J105" s="337"/>
      <c r="K105" s="338"/>
      <c r="L105" s="338"/>
      <c r="M105" s="338"/>
      <c r="N105" s="338"/>
      <c r="O105" s="339"/>
      <c r="P105" s="205"/>
    </row>
    <row r="106" spans="1:56" s="25" customFormat="1" ht="14.25">
      <c r="A106" s="19" t="s">
        <v>1459</v>
      </c>
      <c r="B106" s="24" t="s">
        <v>319</v>
      </c>
      <c r="C106" s="13" t="s">
        <v>30</v>
      </c>
      <c r="D106" s="10">
        <v>1</v>
      </c>
      <c r="E106" s="36"/>
      <c r="F106" s="4"/>
      <c r="G106" s="4"/>
      <c r="H106" s="4"/>
      <c r="I106" s="4"/>
      <c r="J106" s="337"/>
      <c r="K106" s="338"/>
      <c r="L106" s="338"/>
      <c r="M106" s="338"/>
      <c r="N106" s="338"/>
      <c r="O106" s="339"/>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row>
    <row r="107" spans="1:56" s="25" customFormat="1" ht="14.25">
      <c r="A107" s="19" t="s">
        <v>1460</v>
      </c>
      <c r="B107" s="118" t="s">
        <v>320</v>
      </c>
      <c r="C107" s="226" t="s">
        <v>321</v>
      </c>
      <c r="D107" s="9">
        <f>ROUND(D104/15,2)</f>
        <v>0.67</v>
      </c>
      <c r="E107" s="33"/>
      <c r="F107" s="33"/>
      <c r="G107" s="33"/>
      <c r="H107" s="4"/>
      <c r="I107" s="33"/>
      <c r="J107" s="337"/>
      <c r="K107" s="338"/>
      <c r="L107" s="338"/>
      <c r="M107" s="338"/>
      <c r="N107" s="338"/>
      <c r="O107" s="339"/>
      <c r="P107" s="205"/>
    </row>
    <row r="108" spans="1:56" s="252" customFormat="1">
      <c r="A108" s="106">
        <v>29</v>
      </c>
      <c r="B108" s="2" t="s">
        <v>136</v>
      </c>
      <c r="C108" s="13" t="s">
        <v>14</v>
      </c>
      <c r="D108" s="9">
        <f>D101</f>
        <v>154</v>
      </c>
      <c r="E108" s="40"/>
      <c r="F108" s="4"/>
      <c r="G108" s="4"/>
      <c r="H108" s="4"/>
      <c r="I108" s="112"/>
      <c r="J108" s="337"/>
      <c r="K108" s="338"/>
      <c r="L108" s="338"/>
      <c r="M108" s="338"/>
      <c r="N108" s="338"/>
      <c r="O108" s="339"/>
      <c r="P108" s="251"/>
    </row>
    <row r="109" spans="1:56" s="252" customFormat="1" ht="24">
      <c r="A109" s="19" t="s">
        <v>1462</v>
      </c>
      <c r="B109" s="21" t="s">
        <v>162</v>
      </c>
      <c r="C109" s="13" t="s">
        <v>14</v>
      </c>
      <c r="D109" s="9">
        <f>ROUND(D108*1.075,2)</f>
        <v>165.55</v>
      </c>
      <c r="E109" s="132"/>
      <c r="F109" s="132"/>
      <c r="G109" s="4"/>
      <c r="H109" s="11"/>
      <c r="I109" s="4"/>
      <c r="J109" s="337"/>
      <c r="K109" s="338"/>
      <c r="L109" s="338"/>
      <c r="M109" s="338"/>
      <c r="N109" s="338"/>
      <c r="O109" s="339"/>
      <c r="P109" s="251"/>
    </row>
    <row r="110" spans="1:56" s="252" customFormat="1">
      <c r="A110" s="19" t="s">
        <v>1463</v>
      </c>
      <c r="B110" s="21" t="s">
        <v>137</v>
      </c>
      <c r="C110" s="13" t="s">
        <v>51</v>
      </c>
      <c r="D110" s="9">
        <f>ROUND(D108*0.35,2)</f>
        <v>53.9</v>
      </c>
      <c r="E110" s="132"/>
      <c r="F110" s="132"/>
      <c r="G110" s="4"/>
      <c r="H110" s="4"/>
      <c r="I110" s="4"/>
      <c r="J110" s="337"/>
      <c r="K110" s="338"/>
      <c r="L110" s="338"/>
      <c r="M110" s="338"/>
      <c r="N110" s="338"/>
      <c r="O110" s="339"/>
      <c r="P110" s="251"/>
    </row>
    <row r="111" spans="1:56" s="252" customFormat="1">
      <c r="A111" s="106">
        <v>30</v>
      </c>
      <c r="B111" s="2" t="s">
        <v>138</v>
      </c>
      <c r="C111" s="13" t="s">
        <v>42</v>
      </c>
      <c r="D111" s="327">
        <f>ROUND(D108*1.17,1)</f>
        <v>180.2</v>
      </c>
      <c r="E111" s="253"/>
      <c r="F111" s="4"/>
      <c r="G111" s="4"/>
      <c r="H111" s="4"/>
      <c r="I111" s="112"/>
      <c r="J111" s="337"/>
      <c r="K111" s="338"/>
      <c r="L111" s="338"/>
      <c r="M111" s="338"/>
      <c r="N111" s="338"/>
      <c r="O111" s="339"/>
      <c r="P111" s="251"/>
    </row>
    <row r="112" spans="1:56" s="252" customFormat="1" ht="24">
      <c r="A112" s="19" t="s">
        <v>1467</v>
      </c>
      <c r="B112" s="101" t="s">
        <v>135</v>
      </c>
      <c r="C112" s="13" t="s">
        <v>42</v>
      </c>
      <c r="D112" s="14">
        <f>ROUND(D111*1.1,1)</f>
        <v>198.2</v>
      </c>
      <c r="E112" s="40"/>
      <c r="F112" s="40"/>
      <c r="G112" s="16"/>
      <c r="H112" s="4"/>
      <c r="I112" s="16"/>
      <c r="J112" s="337"/>
      <c r="K112" s="338"/>
      <c r="L112" s="338"/>
      <c r="M112" s="338"/>
      <c r="N112" s="338"/>
      <c r="O112" s="339"/>
      <c r="P112" s="251"/>
    </row>
    <row r="113" spans="1:56" s="25" customFormat="1" ht="14.25">
      <c r="A113" s="106"/>
      <c r="B113" s="180" t="s">
        <v>1079</v>
      </c>
      <c r="C113" s="13"/>
      <c r="D113" s="9"/>
      <c r="E113" s="33"/>
      <c r="F113" s="33"/>
      <c r="G113" s="4"/>
      <c r="H113" s="4"/>
      <c r="I113" s="4"/>
      <c r="J113" s="4"/>
      <c r="K113" s="4"/>
      <c r="L113" s="4"/>
      <c r="M113" s="4"/>
      <c r="N113" s="4"/>
      <c r="O113" s="20"/>
      <c r="P113" s="117"/>
    </row>
    <row r="114" spans="1:56" s="25" customFormat="1" ht="14.25">
      <c r="A114" s="106">
        <v>31</v>
      </c>
      <c r="B114" s="49" t="s">
        <v>1076</v>
      </c>
      <c r="C114" s="13" t="s">
        <v>14</v>
      </c>
      <c r="D114" s="9">
        <v>3.8</v>
      </c>
      <c r="E114" s="33"/>
      <c r="F114" s="33"/>
      <c r="G114" s="4"/>
      <c r="H114" s="34"/>
      <c r="I114" s="4"/>
      <c r="J114" s="337"/>
      <c r="K114" s="338"/>
      <c r="L114" s="338"/>
      <c r="M114" s="338"/>
      <c r="N114" s="338"/>
      <c r="O114" s="339"/>
    </row>
    <row r="115" spans="1:56" s="25" customFormat="1" ht="14.25">
      <c r="A115" s="19" t="s">
        <v>1470</v>
      </c>
      <c r="B115" s="101" t="s">
        <v>1077</v>
      </c>
      <c r="C115" s="17" t="s">
        <v>14</v>
      </c>
      <c r="D115" s="312">
        <f>ROUND(D114*1.05,2)</f>
        <v>3.99</v>
      </c>
      <c r="E115" s="40"/>
      <c r="F115" s="40"/>
      <c r="G115" s="16"/>
      <c r="H115" s="134"/>
      <c r="I115" s="4"/>
      <c r="J115" s="337"/>
      <c r="K115" s="338"/>
      <c r="L115" s="338"/>
      <c r="M115" s="338"/>
      <c r="N115" s="338"/>
      <c r="O115" s="339"/>
    </row>
    <row r="116" spans="1:56" s="25" customFormat="1" ht="14.25">
      <c r="A116" s="106">
        <v>32</v>
      </c>
      <c r="B116" s="49" t="s">
        <v>290</v>
      </c>
      <c r="C116" s="13" t="s">
        <v>14</v>
      </c>
      <c r="D116" s="9">
        <f>D114</f>
        <v>3.8</v>
      </c>
      <c r="E116" s="33"/>
      <c r="F116" s="40"/>
      <c r="G116" s="4"/>
      <c r="H116" s="34"/>
      <c r="I116" s="4"/>
      <c r="J116" s="337"/>
      <c r="K116" s="338"/>
      <c r="L116" s="338"/>
      <c r="M116" s="338"/>
      <c r="N116" s="338"/>
      <c r="O116" s="339"/>
    </row>
    <row r="117" spans="1:56" s="25" customFormat="1" ht="14.25">
      <c r="A117" s="19" t="s">
        <v>1471</v>
      </c>
      <c r="B117" s="24" t="s">
        <v>126</v>
      </c>
      <c r="C117" s="35" t="s">
        <v>14</v>
      </c>
      <c r="D117" s="100">
        <f>ROUND(D116*1.15,2)</f>
        <v>4.37</v>
      </c>
      <c r="E117" s="4"/>
      <c r="F117" s="4"/>
      <c r="G117" s="4"/>
      <c r="H117" s="4"/>
      <c r="I117" s="4"/>
      <c r="J117" s="337"/>
      <c r="K117" s="338"/>
      <c r="L117" s="338"/>
      <c r="M117" s="338"/>
      <c r="N117" s="338"/>
      <c r="O117" s="339"/>
    </row>
    <row r="118" spans="1:56">
      <c r="A118" s="106">
        <v>33</v>
      </c>
      <c r="B118" s="49" t="s">
        <v>303</v>
      </c>
      <c r="C118" s="13" t="s">
        <v>14</v>
      </c>
      <c r="D118" s="9">
        <f>D114</f>
        <v>3.8</v>
      </c>
      <c r="E118" s="33"/>
      <c r="F118" s="33"/>
      <c r="G118" s="4"/>
      <c r="H118" s="4"/>
      <c r="I118" s="4"/>
      <c r="J118" s="337"/>
      <c r="K118" s="338"/>
      <c r="L118" s="338"/>
      <c r="M118" s="338"/>
      <c r="N118" s="338"/>
      <c r="O118" s="339"/>
    </row>
    <row r="119" spans="1:56">
      <c r="A119" s="19" t="s">
        <v>1472</v>
      </c>
      <c r="B119" s="24" t="s">
        <v>1068</v>
      </c>
      <c r="C119" s="13" t="s">
        <v>14</v>
      </c>
      <c r="D119" s="9">
        <f>ROUND(D118*1.05,2)</f>
        <v>3.99</v>
      </c>
      <c r="E119" s="36"/>
      <c r="F119" s="36"/>
      <c r="G119" s="4"/>
      <c r="H119" s="4"/>
      <c r="I119" s="4"/>
      <c r="J119" s="337"/>
      <c r="K119" s="338"/>
      <c r="L119" s="338"/>
      <c r="M119" s="338"/>
      <c r="N119" s="338"/>
      <c r="O119" s="339"/>
    </row>
    <row r="120" spans="1:56" s="25" customFormat="1" ht="14.25">
      <c r="A120" s="19" t="s">
        <v>1523</v>
      </c>
      <c r="B120" s="24" t="s">
        <v>304</v>
      </c>
      <c r="C120" s="13" t="s">
        <v>29</v>
      </c>
      <c r="D120" s="10">
        <f>ROUND(D118*7,0)</f>
        <v>27</v>
      </c>
      <c r="E120" s="33"/>
      <c r="F120" s="33"/>
      <c r="G120" s="4"/>
      <c r="H120" s="4"/>
      <c r="I120" s="4"/>
      <c r="J120" s="337"/>
      <c r="K120" s="338"/>
      <c r="L120" s="338"/>
      <c r="M120" s="338"/>
      <c r="N120" s="338"/>
      <c r="O120" s="339"/>
    </row>
    <row r="121" spans="1:56" ht="24">
      <c r="A121" s="106">
        <v>34</v>
      </c>
      <c r="B121" s="158" t="s">
        <v>1080</v>
      </c>
      <c r="C121" s="116" t="s">
        <v>26</v>
      </c>
      <c r="D121" s="242">
        <f>ROUND(D118*0.06,2)</f>
        <v>0.23</v>
      </c>
      <c r="E121" s="33"/>
      <c r="F121" s="4"/>
      <c r="G121" s="4"/>
      <c r="H121" s="33"/>
      <c r="I121" s="4"/>
      <c r="J121" s="337"/>
      <c r="K121" s="338"/>
      <c r="L121" s="338"/>
      <c r="M121" s="338"/>
      <c r="N121" s="338"/>
      <c r="O121" s="339"/>
    </row>
    <row r="122" spans="1:56" s="25" customFormat="1" ht="14.25">
      <c r="A122" s="19" t="s">
        <v>1524</v>
      </c>
      <c r="B122" s="118" t="s">
        <v>1070</v>
      </c>
      <c r="C122" s="226" t="s">
        <v>26</v>
      </c>
      <c r="D122" s="9">
        <f>ROUND(D121*1.02,2)</f>
        <v>0.23</v>
      </c>
      <c r="E122" s="33"/>
      <c r="F122" s="33"/>
      <c r="G122" s="33"/>
      <c r="H122" s="4"/>
      <c r="I122" s="33"/>
      <c r="J122" s="337"/>
      <c r="K122" s="338"/>
      <c r="L122" s="338"/>
      <c r="M122" s="338"/>
      <c r="N122" s="338"/>
      <c r="O122" s="339"/>
      <c r="P122" s="205"/>
    </row>
    <row r="123" spans="1:56" s="25" customFormat="1" ht="14.25">
      <c r="A123" s="19" t="s">
        <v>1525</v>
      </c>
      <c r="B123" s="24" t="s">
        <v>319</v>
      </c>
      <c r="C123" s="13" t="s">
        <v>30</v>
      </c>
      <c r="D123" s="10">
        <v>1</v>
      </c>
      <c r="E123" s="36"/>
      <c r="F123" s="4"/>
      <c r="G123" s="4"/>
      <c r="H123" s="4"/>
      <c r="I123" s="4"/>
      <c r="J123" s="337"/>
      <c r="K123" s="338"/>
      <c r="L123" s="338"/>
      <c r="M123" s="338"/>
      <c r="N123" s="338"/>
      <c r="O123" s="339"/>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row>
    <row r="124" spans="1:56" s="25" customFormat="1" ht="14.25">
      <c r="A124" s="19" t="s">
        <v>1526</v>
      </c>
      <c r="B124" s="118" t="s">
        <v>320</v>
      </c>
      <c r="C124" s="226" t="s">
        <v>321</v>
      </c>
      <c r="D124" s="9">
        <f>ROUND(D121/15,2)</f>
        <v>0.02</v>
      </c>
      <c r="E124" s="33"/>
      <c r="F124" s="33"/>
      <c r="G124" s="33"/>
      <c r="H124" s="4"/>
      <c r="I124" s="33"/>
      <c r="J124" s="337"/>
      <c r="K124" s="338"/>
      <c r="L124" s="338"/>
      <c r="M124" s="338"/>
      <c r="N124" s="338"/>
      <c r="O124" s="339"/>
      <c r="P124" s="205"/>
    </row>
    <row r="125" spans="1:56">
      <c r="A125" s="106">
        <v>35</v>
      </c>
      <c r="B125" s="110" t="s">
        <v>215</v>
      </c>
      <c r="C125" s="17" t="s">
        <v>14</v>
      </c>
      <c r="D125" s="120">
        <f>D118</f>
        <v>3.8</v>
      </c>
      <c r="E125" s="4"/>
      <c r="F125" s="4"/>
      <c r="G125" s="4"/>
      <c r="H125" s="4"/>
      <c r="I125" s="112"/>
      <c r="J125" s="337"/>
      <c r="K125" s="338"/>
      <c r="L125" s="338"/>
      <c r="M125" s="338"/>
      <c r="N125" s="338"/>
      <c r="O125" s="339"/>
    </row>
    <row r="126" spans="1:56">
      <c r="A126" s="19" t="s">
        <v>1527</v>
      </c>
      <c r="B126" s="121" t="s">
        <v>129</v>
      </c>
      <c r="C126" s="204" t="s">
        <v>40</v>
      </c>
      <c r="D126" s="120">
        <f>ROUND(D125*0.1,2)</f>
        <v>0.38</v>
      </c>
      <c r="E126" s="4"/>
      <c r="F126" s="150"/>
      <c r="G126" s="16"/>
      <c r="H126" s="4"/>
      <c r="I126" s="16"/>
      <c r="J126" s="337"/>
      <c r="K126" s="338"/>
      <c r="L126" s="338"/>
      <c r="M126" s="338"/>
      <c r="N126" s="338"/>
      <c r="O126" s="339"/>
    </row>
    <row r="127" spans="1:56">
      <c r="A127" s="19" t="s">
        <v>1528</v>
      </c>
      <c r="B127" s="101" t="s">
        <v>130</v>
      </c>
      <c r="C127" s="204" t="s">
        <v>38</v>
      </c>
      <c r="D127" s="9">
        <f>ROUND(D125*2.5,2)</f>
        <v>9.5</v>
      </c>
      <c r="E127" s="4"/>
      <c r="F127" s="40"/>
      <c r="G127" s="16"/>
      <c r="H127" s="4"/>
      <c r="I127" s="16"/>
      <c r="J127" s="337"/>
      <c r="K127" s="338"/>
      <c r="L127" s="338"/>
      <c r="M127" s="338"/>
      <c r="N127" s="338"/>
      <c r="O127" s="339"/>
    </row>
    <row r="128" spans="1:56">
      <c r="A128" s="19" t="s">
        <v>1529</v>
      </c>
      <c r="B128" s="121" t="s">
        <v>131</v>
      </c>
      <c r="C128" s="204" t="s">
        <v>14</v>
      </c>
      <c r="D128" s="120">
        <f>ROUND(D125*1.05,2)</f>
        <v>3.99</v>
      </c>
      <c r="E128" s="4"/>
      <c r="F128" s="150"/>
      <c r="G128" s="16"/>
      <c r="H128" s="4"/>
      <c r="I128" s="16"/>
      <c r="J128" s="337"/>
      <c r="K128" s="338"/>
      <c r="L128" s="338"/>
      <c r="M128" s="338"/>
      <c r="N128" s="338"/>
      <c r="O128" s="339"/>
    </row>
    <row r="129" spans="1:26">
      <c r="A129" s="19" t="s">
        <v>1530</v>
      </c>
      <c r="B129" s="121" t="s">
        <v>132</v>
      </c>
      <c r="C129" s="204" t="s">
        <v>42</v>
      </c>
      <c r="D129" s="120">
        <f>ROUND(D125*1.05,2)</f>
        <v>3.99</v>
      </c>
      <c r="E129" s="4"/>
      <c r="F129" s="150"/>
      <c r="G129" s="16"/>
      <c r="H129" s="4"/>
      <c r="I129" s="16"/>
      <c r="J129" s="337"/>
      <c r="K129" s="338"/>
      <c r="L129" s="338"/>
      <c r="M129" s="338"/>
      <c r="N129" s="338"/>
      <c r="O129" s="339"/>
    </row>
    <row r="130" spans="1:26" s="124" customFormat="1" ht="14.25">
      <c r="A130" s="106">
        <v>36</v>
      </c>
      <c r="B130" s="174" t="s">
        <v>305</v>
      </c>
      <c r="C130" s="116" t="s">
        <v>14</v>
      </c>
      <c r="D130" s="140">
        <f>D125</f>
        <v>3.8</v>
      </c>
      <c r="E130" s="4"/>
      <c r="F130" s="4"/>
      <c r="G130" s="4"/>
      <c r="H130" s="112"/>
      <c r="I130" s="112"/>
      <c r="J130" s="337"/>
      <c r="K130" s="338"/>
      <c r="L130" s="338"/>
      <c r="M130" s="338"/>
      <c r="N130" s="338"/>
      <c r="O130" s="339"/>
    </row>
    <row r="131" spans="1:26" s="124" customFormat="1" ht="14.25">
      <c r="A131" s="19" t="s">
        <v>1531</v>
      </c>
      <c r="B131" s="203" t="s">
        <v>1072</v>
      </c>
      <c r="C131" s="139" t="s">
        <v>14</v>
      </c>
      <c r="D131" s="140">
        <f>ROUND(D130*1.05,2)</f>
        <v>3.99</v>
      </c>
      <c r="E131" s="4"/>
      <c r="F131" s="141"/>
      <c r="G131" s="112"/>
      <c r="H131" s="4"/>
      <c r="I131" s="112"/>
      <c r="J131" s="337"/>
      <c r="K131" s="338"/>
      <c r="L131" s="338"/>
      <c r="M131" s="338"/>
      <c r="N131" s="338"/>
      <c r="O131" s="339"/>
      <c r="P131" s="117"/>
    </row>
    <row r="132" spans="1:26" s="124" customFormat="1" ht="14.25">
      <c r="A132" s="19" t="s">
        <v>1532</v>
      </c>
      <c r="B132" s="24" t="s">
        <v>134</v>
      </c>
      <c r="C132" s="139" t="s">
        <v>51</v>
      </c>
      <c r="D132" s="140">
        <f>ROUND(D130*4,2)</f>
        <v>15.2</v>
      </c>
      <c r="E132" s="4"/>
      <c r="F132" s="141"/>
      <c r="G132" s="112"/>
      <c r="H132" s="4"/>
      <c r="I132" s="112"/>
      <c r="J132" s="337"/>
      <c r="K132" s="338"/>
      <c r="L132" s="338"/>
      <c r="M132" s="338"/>
      <c r="N132" s="338"/>
      <c r="O132" s="339"/>
      <c r="P132" s="117"/>
    </row>
    <row r="133" spans="1:26" s="124" customFormat="1" ht="14.25">
      <c r="A133" s="19" t="s">
        <v>1533</v>
      </c>
      <c r="B133" s="24" t="s">
        <v>52</v>
      </c>
      <c r="C133" s="139" t="s">
        <v>53</v>
      </c>
      <c r="D133" s="140">
        <f>ROUND(D130*11/100,2)</f>
        <v>0.42</v>
      </c>
      <c r="E133" s="4"/>
      <c r="F133" s="141"/>
      <c r="G133" s="112"/>
      <c r="H133" s="11"/>
      <c r="I133" s="112"/>
      <c r="J133" s="337"/>
      <c r="K133" s="338"/>
      <c r="L133" s="338"/>
      <c r="M133" s="338"/>
      <c r="N133" s="338"/>
      <c r="O133" s="339"/>
      <c r="P133" s="117"/>
    </row>
    <row r="134" spans="1:26" s="124" customFormat="1" ht="15" thickBot="1">
      <c r="A134" s="19" t="s">
        <v>1534</v>
      </c>
      <c r="B134" s="24" t="s">
        <v>74</v>
      </c>
      <c r="C134" s="139" t="s">
        <v>40</v>
      </c>
      <c r="D134" s="140">
        <f>ROUND(D130*0.33,2)</f>
        <v>1.25</v>
      </c>
      <c r="E134" s="4"/>
      <c r="F134" s="112"/>
      <c r="G134" s="112"/>
      <c r="H134" s="4"/>
      <c r="I134" s="112"/>
      <c r="J134" s="337"/>
      <c r="K134" s="338"/>
      <c r="L134" s="338"/>
      <c r="M134" s="338"/>
      <c r="N134" s="338"/>
      <c r="O134" s="339"/>
      <c r="P134" s="117"/>
    </row>
    <row r="135" spans="1:26" s="102" customFormat="1" ht="15.75" thickTop="1" thickBot="1">
      <c r="A135" s="181"/>
      <c r="B135" s="400" t="s">
        <v>1587</v>
      </c>
      <c r="C135" s="401"/>
      <c r="D135" s="401"/>
      <c r="E135" s="401"/>
      <c r="F135" s="401"/>
      <c r="G135" s="401"/>
      <c r="H135" s="401"/>
      <c r="I135" s="401"/>
      <c r="J135" s="402"/>
      <c r="K135" s="182"/>
      <c r="L135" s="182"/>
      <c r="M135" s="182"/>
      <c r="N135" s="182"/>
      <c r="O135" s="183"/>
      <c r="P135" s="25"/>
      <c r="Q135" s="25"/>
      <c r="R135" s="25"/>
      <c r="S135" s="25"/>
      <c r="T135" s="25"/>
      <c r="U135" s="25"/>
      <c r="V135" s="25"/>
      <c r="W135" s="25"/>
      <c r="X135" s="25"/>
      <c r="Y135" s="25"/>
      <c r="Z135" s="25"/>
    </row>
    <row r="136" spans="1:26" s="102" customFormat="1" ht="15" thickTop="1">
      <c r="B136" s="200"/>
      <c r="P136" s="25"/>
      <c r="Q136" s="25"/>
      <c r="R136" s="25"/>
      <c r="S136" s="25"/>
      <c r="T136" s="25"/>
      <c r="U136" s="25"/>
      <c r="V136" s="25"/>
      <c r="W136" s="25"/>
      <c r="X136" s="25"/>
      <c r="Y136" s="25"/>
      <c r="Z136" s="25"/>
    </row>
    <row r="137" spans="1:26" s="102" customFormat="1" ht="14.25">
      <c r="B137" s="184"/>
      <c r="P137" s="25"/>
      <c r="Q137" s="25"/>
      <c r="R137" s="25"/>
      <c r="S137" s="25"/>
      <c r="T137" s="25"/>
      <c r="U137" s="25"/>
      <c r="V137" s="25"/>
      <c r="W137" s="25"/>
      <c r="X137" s="25"/>
      <c r="Y137" s="25"/>
      <c r="Z137" s="25"/>
    </row>
    <row r="138" spans="1:26" s="102" customFormat="1" ht="14.25">
      <c r="A138" s="117"/>
      <c r="B138" s="172" t="s">
        <v>209</v>
      </c>
      <c r="C138" s="117"/>
      <c r="D138" s="117"/>
      <c r="E138" s="117"/>
      <c r="F138" s="117"/>
      <c r="G138" s="117"/>
      <c r="H138" s="117"/>
      <c r="P138" s="25"/>
      <c r="Q138" s="25"/>
      <c r="R138" s="25"/>
      <c r="S138" s="25"/>
      <c r="T138" s="25"/>
      <c r="U138" s="25"/>
      <c r="V138" s="25"/>
      <c r="W138" s="25"/>
      <c r="X138" s="25"/>
      <c r="Y138" s="25"/>
      <c r="Z138" s="25"/>
    </row>
    <row r="139" spans="1:26" s="102" customFormat="1" ht="14.25">
      <c r="A139" s="117"/>
      <c r="B139" s="172"/>
      <c r="C139" s="117"/>
      <c r="D139" s="117"/>
      <c r="E139" s="117"/>
      <c r="F139" s="117"/>
      <c r="G139" s="117"/>
      <c r="H139" s="117"/>
      <c r="P139" s="25"/>
      <c r="Q139" s="25"/>
      <c r="R139" s="25"/>
      <c r="S139" s="25"/>
      <c r="T139" s="25"/>
      <c r="U139" s="25"/>
      <c r="V139" s="25"/>
      <c r="W139" s="25"/>
      <c r="X139" s="25"/>
      <c r="Y139" s="25"/>
      <c r="Z139" s="25"/>
    </row>
    <row r="140" spans="1:26" s="102" customFormat="1" ht="14.25">
      <c r="B140" s="92">
        <f ca="1">TODAY()</f>
        <v>43206</v>
      </c>
      <c r="P140" s="25"/>
      <c r="Q140" s="25"/>
      <c r="R140" s="25"/>
      <c r="S140" s="25"/>
      <c r="T140" s="25"/>
      <c r="U140" s="25"/>
      <c r="V140" s="25"/>
      <c r="W140" s="25"/>
      <c r="X140" s="25"/>
      <c r="Y140" s="25"/>
      <c r="Z140" s="25"/>
    </row>
    <row r="141" spans="1:26" s="102" customFormat="1" ht="14.25">
      <c r="P141" s="25"/>
      <c r="Q141" s="25"/>
      <c r="R141" s="25"/>
      <c r="S141" s="25"/>
      <c r="T141" s="25"/>
      <c r="U141" s="25"/>
      <c r="V141" s="25"/>
      <c r="W141" s="25"/>
      <c r="X141" s="25"/>
      <c r="Y141" s="25"/>
      <c r="Z141" s="25"/>
    </row>
    <row r="142" spans="1:26" s="102" customFormat="1" ht="14.25">
      <c r="P142" s="25"/>
      <c r="Q142" s="25"/>
      <c r="R142" s="25"/>
      <c r="S142" s="25"/>
      <c r="T142" s="25"/>
      <c r="U142" s="25"/>
      <c r="V142" s="25"/>
      <c r="W142" s="25"/>
      <c r="X142" s="25"/>
      <c r="Y142" s="25"/>
      <c r="Z142" s="25"/>
    </row>
    <row r="143" spans="1:26" s="102" customFormat="1" ht="14.25">
      <c r="P143" s="25"/>
      <c r="Q143" s="25"/>
      <c r="R143" s="25"/>
      <c r="S143" s="25"/>
      <c r="T143" s="25"/>
      <c r="U143" s="25"/>
      <c r="V143" s="25"/>
      <c r="W143" s="25"/>
      <c r="X143" s="25"/>
      <c r="Y143" s="25"/>
      <c r="Z143" s="25"/>
    </row>
    <row r="144" spans="1:26" s="102" customFormat="1" ht="14.25">
      <c r="A144" s="117"/>
      <c r="B144" s="117"/>
      <c r="C144" s="117"/>
      <c r="D144" s="117"/>
      <c r="E144" s="117"/>
      <c r="F144" s="117"/>
      <c r="G144" s="117"/>
      <c r="H144" s="117"/>
      <c r="I144" s="117"/>
      <c r="J144" s="117"/>
      <c r="K144" s="117"/>
      <c r="L144" s="117"/>
      <c r="M144" s="117"/>
      <c r="N144" s="117"/>
      <c r="O144" s="117"/>
      <c r="P144" s="25"/>
      <c r="Q144" s="25"/>
      <c r="R144" s="25"/>
      <c r="S144" s="25"/>
      <c r="T144" s="25"/>
      <c r="U144" s="25"/>
      <c r="V144" s="25"/>
      <c r="W144" s="25"/>
      <c r="X144" s="25"/>
      <c r="Y144" s="25"/>
      <c r="Z144" s="25"/>
    </row>
    <row r="145" spans="1:26" s="102" customFormat="1" ht="14.25">
      <c r="A145" s="117"/>
      <c r="B145" s="117"/>
      <c r="C145" s="117"/>
      <c r="D145" s="117"/>
      <c r="E145" s="117"/>
      <c r="F145" s="117"/>
      <c r="G145" s="117"/>
      <c r="H145" s="117"/>
      <c r="I145" s="117"/>
      <c r="J145" s="117"/>
      <c r="K145" s="117"/>
      <c r="L145" s="117"/>
      <c r="M145" s="117"/>
      <c r="N145" s="117"/>
      <c r="O145" s="117"/>
      <c r="P145" s="25"/>
      <c r="Q145" s="25"/>
      <c r="R145" s="25"/>
      <c r="S145" s="25"/>
      <c r="T145" s="25"/>
      <c r="U145" s="25"/>
      <c r="V145" s="25"/>
      <c r="W145" s="25"/>
      <c r="X145" s="25"/>
      <c r="Y145" s="25"/>
      <c r="Z145" s="25"/>
    </row>
    <row r="146" spans="1:26">
      <c r="P146" s="133"/>
      <c r="Q146" s="133"/>
      <c r="R146" s="133"/>
      <c r="S146" s="133"/>
      <c r="T146" s="133"/>
      <c r="U146" s="133"/>
      <c r="V146" s="133"/>
      <c r="W146" s="133"/>
      <c r="X146" s="133"/>
      <c r="Y146" s="133"/>
      <c r="Z146" s="133"/>
    </row>
    <row r="147" spans="1:26">
      <c r="P147" s="133"/>
      <c r="Q147" s="133"/>
      <c r="R147" s="133"/>
      <c r="S147" s="133"/>
      <c r="T147" s="133"/>
      <c r="U147" s="133"/>
      <c r="V147" s="133"/>
      <c r="W147" s="133"/>
      <c r="X147" s="133"/>
      <c r="Y147" s="133"/>
      <c r="Z147" s="133"/>
    </row>
    <row r="148" spans="1:26">
      <c r="P148" s="133"/>
      <c r="Q148" s="133"/>
      <c r="R148" s="133"/>
      <c r="S148" s="133"/>
      <c r="T148" s="133"/>
      <c r="U148" s="133"/>
      <c r="V148" s="133"/>
      <c r="W148" s="133"/>
      <c r="X148" s="133"/>
      <c r="Y148" s="133"/>
      <c r="Z148" s="133"/>
    </row>
    <row r="149" spans="1:26">
      <c r="P149" s="133"/>
      <c r="Q149" s="133"/>
      <c r="R149" s="133"/>
      <c r="S149" s="133"/>
      <c r="T149" s="133"/>
      <c r="U149" s="133"/>
      <c r="V149" s="133"/>
      <c r="W149" s="133"/>
      <c r="X149" s="133"/>
      <c r="Y149" s="133"/>
      <c r="Z149" s="133"/>
    </row>
    <row r="150" spans="1:26">
      <c r="P150" s="133"/>
      <c r="Q150" s="133"/>
      <c r="R150" s="133"/>
      <c r="S150" s="133"/>
      <c r="T150" s="133"/>
      <c r="U150" s="133"/>
      <c r="V150" s="133"/>
      <c r="W150" s="133"/>
      <c r="X150" s="133"/>
      <c r="Y150" s="133"/>
      <c r="Z150" s="133"/>
    </row>
    <row r="151" spans="1:26">
      <c r="P151" s="133"/>
      <c r="Q151" s="133"/>
      <c r="R151" s="133"/>
      <c r="S151" s="133"/>
      <c r="T151" s="133"/>
      <c r="U151" s="133"/>
      <c r="V151" s="133"/>
      <c r="W151" s="133"/>
      <c r="X151" s="133"/>
      <c r="Y151" s="133"/>
      <c r="Z151" s="133"/>
    </row>
    <row r="152" spans="1:26">
      <c r="P152" s="133"/>
      <c r="Q152" s="133"/>
      <c r="R152" s="133"/>
      <c r="S152" s="133"/>
      <c r="T152" s="133"/>
      <c r="U152" s="133"/>
      <c r="V152" s="133"/>
      <c r="W152" s="133"/>
      <c r="X152" s="133"/>
      <c r="Y152" s="133"/>
      <c r="Z152" s="133"/>
    </row>
    <row r="153" spans="1:26">
      <c r="P153" s="133"/>
      <c r="Q153" s="133"/>
      <c r="R153" s="133"/>
      <c r="S153" s="133"/>
      <c r="T153" s="133"/>
      <c r="U153" s="133"/>
      <c r="V153" s="133"/>
      <c r="W153" s="133"/>
      <c r="X153" s="133"/>
      <c r="Y153" s="133"/>
      <c r="Z153" s="133"/>
    </row>
    <row r="154" spans="1:26">
      <c r="P154" s="133"/>
      <c r="Q154" s="133"/>
      <c r="R154" s="133"/>
      <c r="S154" s="133"/>
      <c r="T154" s="133"/>
      <c r="U154" s="133"/>
      <c r="V154" s="133"/>
      <c r="W154" s="133"/>
      <c r="X154" s="133"/>
      <c r="Y154" s="133"/>
      <c r="Z154" s="133"/>
    </row>
    <row r="155" spans="1:26">
      <c r="P155" s="133"/>
      <c r="Q155" s="133"/>
      <c r="R155" s="133"/>
      <c r="S155" s="133"/>
      <c r="T155" s="133"/>
      <c r="U155" s="133"/>
      <c r="V155" s="133"/>
      <c r="W155" s="133"/>
      <c r="X155" s="133"/>
      <c r="Y155" s="133"/>
      <c r="Z155" s="133"/>
    </row>
    <row r="156" spans="1:26">
      <c r="P156" s="133"/>
      <c r="Q156" s="133"/>
      <c r="R156" s="133"/>
      <c r="S156" s="133"/>
      <c r="T156" s="133"/>
      <c r="U156" s="133"/>
      <c r="V156" s="133"/>
      <c r="W156" s="133"/>
      <c r="X156" s="133"/>
      <c r="Y156" s="133"/>
      <c r="Z156" s="133"/>
    </row>
    <row r="157" spans="1:26">
      <c r="P157" s="133"/>
      <c r="Q157" s="133"/>
      <c r="R157" s="133"/>
      <c r="S157" s="133"/>
      <c r="T157" s="133"/>
      <c r="U157" s="133"/>
      <c r="V157" s="133"/>
      <c r="W157" s="133"/>
      <c r="X157" s="133"/>
      <c r="Y157" s="133"/>
      <c r="Z157" s="133"/>
    </row>
    <row r="158" spans="1:26">
      <c r="P158" s="133"/>
      <c r="Q158" s="133"/>
      <c r="R158" s="133"/>
      <c r="S158" s="133"/>
      <c r="T158" s="133"/>
      <c r="U158" s="133"/>
      <c r="V158" s="133"/>
      <c r="W158" s="133"/>
      <c r="X158" s="133"/>
      <c r="Y158" s="133"/>
      <c r="Z158" s="133"/>
    </row>
    <row r="159" spans="1:26">
      <c r="P159" s="133"/>
      <c r="Q159" s="133"/>
      <c r="R159" s="133"/>
      <c r="S159" s="133"/>
      <c r="T159" s="133"/>
      <c r="U159" s="133"/>
      <c r="V159" s="133"/>
      <c r="W159" s="133"/>
      <c r="X159" s="133"/>
      <c r="Y159" s="133"/>
      <c r="Z159" s="133"/>
    </row>
    <row r="160" spans="1:26">
      <c r="P160" s="133"/>
      <c r="Q160" s="133"/>
      <c r="R160" s="133"/>
      <c r="S160" s="133"/>
      <c r="T160" s="133"/>
      <c r="U160" s="133"/>
      <c r="V160" s="133"/>
      <c r="W160" s="133"/>
      <c r="X160" s="133"/>
      <c r="Y160" s="133"/>
      <c r="Z160" s="133"/>
    </row>
    <row r="161" spans="16:26">
      <c r="P161" s="133"/>
      <c r="Q161" s="133"/>
      <c r="R161" s="133"/>
      <c r="S161" s="133"/>
      <c r="T161" s="133"/>
      <c r="U161" s="133"/>
      <c r="V161" s="133"/>
      <c r="W161" s="133"/>
      <c r="X161" s="133"/>
      <c r="Y161" s="133"/>
      <c r="Z161" s="133"/>
    </row>
    <row r="162" spans="16:26">
      <c r="P162" s="133"/>
      <c r="Q162" s="133"/>
      <c r="R162" s="133"/>
      <c r="S162" s="133"/>
      <c r="T162" s="133"/>
      <c r="U162" s="133"/>
      <c r="V162" s="133"/>
      <c r="W162" s="133"/>
      <c r="X162" s="133"/>
      <c r="Y162" s="133"/>
      <c r="Z162" s="133"/>
    </row>
    <row r="163" spans="16:26">
      <c r="P163" s="133"/>
      <c r="Q163" s="133"/>
      <c r="R163" s="133"/>
      <c r="S163" s="133"/>
      <c r="T163" s="133"/>
      <c r="U163" s="133"/>
      <c r="V163" s="133"/>
      <c r="W163" s="133"/>
      <c r="X163" s="133"/>
      <c r="Y163" s="133"/>
      <c r="Z163" s="133"/>
    </row>
    <row r="164" spans="16:26">
      <c r="P164" s="133"/>
      <c r="Q164" s="133"/>
      <c r="R164" s="133"/>
      <c r="S164" s="133"/>
      <c r="T164" s="133"/>
      <c r="U164" s="133"/>
      <c r="V164" s="133"/>
      <c r="W164" s="133"/>
      <c r="X164" s="133"/>
      <c r="Y164" s="133"/>
      <c r="Z164" s="133"/>
    </row>
    <row r="165" spans="16:26">
      <c r="P165" s="133"/>
      <c r="Q165" s="133"/>
      <c r="R165" s="133"/>
      <c r="S165" s="133"/>
      <c r="T165" s="133"/>
      <c r="U165" s="133"/>
      <c r="V165" s="133"/>
      <c r="W165" s="133"/>
      <c r="X165" s="133"/>
      <c r="Y165" s="133"/>
      <c r="Z165" s="133"/>
    </row>
    <row r="166" spans="16:26">
      <c r="P166" s="133"/>
      <c r="Q166" s="133"/>
      <c r="R166" s="133"/>
      <c r="S166" s="133"/>
      <c r="T166" s="133"/>
      <c r="U166" s="133"/>
      <c r="V166" s="133"/>
      <c r="W166" s="133"/>
      <c r="X166" s="133"/>
      <c r="Y166" s="133"/>
      <c r="Z166" s="133"/>
    </row>
    <row r="167" spans="16:26">
      <c r="P167" s="133"/>
      <c r="Q167" s="133"/>
      <c r="R167" s="133"/>
      <c r="S167" s="133"/>
      <c r="T167" s="133"/>
      <c r="U167" s="133"/>
      <c r="V167" s="133"/>
      <c r="W167" s="133"/>
      <c r="X167" s="133"/>
      <c r="Y167" s="133"/>
      <c r="Z167" s="133"/>
    </row>
    <row r="168" spans="16:26">
      <c r="P168" s="133"/>
      <c r="Q168" s="133"/>
      <c r="R168" s="133"/>
      <c r="S168" s="133"/>
      <c r="T168" s="133"/>
      <c r="U168" s="133"/>
      <c r="V168" s="133"/>
      <c r="W168" s="133"/>
      <c r="X168" s="133"/>
      <c r="Y168" s="133"/>
      <c r="Z168" s="133"/>
    </row>
    <row r="169" spans="16:26">
      <c r="P169" s="133"/>
      <c r="Q169" s="133"/>
      <c r="R169" s="133"/>
      <c r="S169" s="133"/>
      <c r="T169" s="133"/>
      <c r="U169" s="133"/>
      <c r="V169" s="133"/>
      <c r="W169" s="133"/>
      <c r="X169" s="133"/>
      <c r="Y169" s="133"/>
      <c r="Z169" s="133"/>
    </row>
    <row r="170" spans="16:26">
      <c r="P170" s="133"/>
      <c r="Q170" s="133"/>
      <c r="R170" s="133"/>
      <c r="S170" s="133"/>
      <c r="T170" s="133"/>
      <c r="U170" s="133"/>
      <c r="V170" s="133"/>
      <c r="W170" s="133"/>
      <c r="X170" s="133"/>
      <c r="Y170" s="133"/>
      <c r="Z170" s="133"/>
    </row>
    <row r="171" spans="16:26">
      <c r="P171" s="133"/>
      <c r="Q171" s="133"/>
      <c r="R171" s="133"/>
      <c r="S171" s="133"/>
      <c r="T171" s="133"/>
      <c r="U171" s="133"/>
      <c r="V171" s="133"/>
      <c r="W171" s="133"/>
      <c r="X171" s="133"/>
      <c r="Y171" s="133"/>
      <c r="Z171" s="133"/>
    </row>
    <row r="172" spans="16:26">
      <c r="P172" s="133"/>
      <c r="Q172" s="133"/>
      <c r="R172" s="133"/>
      <c r="S172" s="133"/>
      <c r="T172" s="133"/>
      <c r="U172" s="133"/>
      <c r="V172" s="133"/>
      <c r="W172" s="133"/>
      <c r="X172" s="133"/>
      <c r="Y172" s="133"/>
      <c r="Z172" s="133"/>
    </row>
    <row r="173" spans="16:26">
      <c r="P173" s="133"/>
      <c r="Q173" s="133"/>
      <c r="R173" s="133"/>
      <c r="S173" s="133"/>
      <c r="T173" s="133"/>
      <c r="U173" s="133"/>
      <c r="V173" s="133"/>
      <c r="W173" s="133"/>
      <c r="X173" s="133"/>
      <c r="Y173" s="133"/>
      <c r="Z173" s="133"/>
    </row>
    <row r="174" spans="16:26">
      <c r="P174" s="133"/>
      <c r="Q174" s="133"/>
      <c r="R174" s="133"/>
      <c r="S174" s="133"/>
      <c r="T174" s="133"/>
      <c r="U174" s="133"/>
      <c r="V174" s="133"/>
      <c r="W174" s="133"/>
      <c r="X174" s="133"/>
      <c r="Y174" s="133"/>
      <c r="Z174" s="133"/>
    </row>
    <row r="175" spans="16:26">
      <c r="P175" s="133"/>
      <c r="Q175" s="133"/>
      <c r="R175" s="133"/>
      <c r="S175" s="133"/>
      <c r="T175" s="133"/>
      <c r="U175" s="133"/>
      <c r="V175" s="133"/>
      <c r="W175" s="133"/>
      <c r="X175" s="133"/>
      <c r="Y175" s="133"/>
      <c r="Z175" s="133"/>
    </row>
    <row r="176" spans="16:26">
      <c r="P176" s="133"/>
      <c r="Q176" s="133"/>
      <c r="R176" s="133"/>
      <c r="S176" s="133"/>
      <c r="T176" s="133"/>
      <c r="U176" s="133"/>
      <c r="V176" s="133"/>
      <c r="W176" s="133"/>
      <c r="X176" s="133"/>
      <c r="Y176" s="133"/>
      <c r="Z176" s="133"/>
    </row>
    <row r="177" spans="16:26">
      <c r="P177" s="133"/>
      <c r="Q177" s="133"/>
      <c r="R177" s="133"/>
      <c r="S177" s="133"/>
      <c r="T177" s="133"/>
      <c r="U177" s="133"/>
      <c r="V177" s="133"/>
      <c r="W177" s="133"/>
      <c r="X177" s="133"/>
      <c r="Y177" s="133"/>
      <c r="Z177" s="133"/>
    </row>
    <row r="178" spans="16:26">
      <c r="P178" s="133"/>
      <c r="Q178" s="133"/>
      <c r="R178" s="133"/>
      <c r="S178" s="133"/>
      <c r="T178" s="133"/>
      <c r="U178" s="133"/>
      <c r="V178" s="133"/>
      <c r="W178" s="133"/>
      <c r="X178" s="133"/>
      <c r="Y178" s="133"/>
      <c r="Z178" s="133"/>
    </row>
    <row r="179" spans="16:26">
      <c r="P179" s="133"/>
      <c r="Q179" s="133"/>
      <c r="R179" s="133"/>
      <c r="S179" s="133"/>
      <c r="T179" s="133"/>
      <c r="U179" s="133"/>
      <c r="V179" s="133"/>
      <c r="W179" s="133"/>
      <c r="X179" s="133"/>
      <c r="Y179" s="133"/>
      <c r="Z179" s="133"/>
    </row>
    <row r="180" spans="16:26">
      <c r="P180" s="133"/>
      <c r="Q180" s="133"/>
      <c r="R180" s="133"/>
      <c r="S180" s="133"/>
      <c r="T180" s="133"/>
      <c r="U180" s="133"/>
      <c r="V180" s="133"/>
      <c r="W180" s="133"/>
      <c r="X180" s="133"/>
      <c r="Y180" s="133"/>
      <c r="Z180" s="133"/>
    </row>
    <row r="181" spans="16:26">
      <c r="P181" s="133"/>
      <c r="Q181" s="133"/>
      <c r="R181" s="133"/>
      <c r="S181" s="133"/>
      <c r="T181" s="133"/>
      <c r="U181" s="133"/>
      <c r="V181" s="133"/>
      <c r="W181" s="133"/>
      <c r="X181" s="133"/>
      <c r="Y181" s="133"/>
      <c r="Z181" s="133"/>
    </row>
    <row r="182" spans="16:26">
      <c r="P182" s="133"/>
      <c r="Q182" s="133"/>
      <c r="R182" s="133"/>
      <c r="S182" s="133"/>
      <c r="T182" s="133"/>
      <c r="U182" s="133"/>
      <c r="V182" s="133"/>
      <c r="W182" s="133"/>
      <c r="X182" s="133"/>
      <c r="Y182" s="133"/>
      <c r="Z182" s="133"/>
    </row>
    <row r="183" spans="16:26">
      <c r="P183" s="133"/>
      <c r="Q183" s="133"/>
      <c r="R183" s="133"/>
      <c r="S183" s="133"/>
      <c r="T183" s="133"/>
      <c r="U183" s="133"/>
      <c r="V183" s="133"/>
      <c r="W183" s="133"/>
      <c r="X183" s="133"/>
      <c r="Y183" s="133"/>
      <c r="Z183" s="133"/>
    </row>
    <row r="184" spans="16:26">
      <c r="P184" s="133"/>
      <c r="Q184" s="133"/>
      <c r="R184" s="133"/>
      <c r="S184" s="133"/>
      <c r="T184" s="133"/>
      <c r="U184" s="133"/>
      <c r="V184" s="133"/>
      <c r="W184" s="133"/>
      <c r="X184" s="133"/>
      <c r="Y184" s="133"/>
      <c r="Z184" s="133"/>
    </row>
    <row r="185" spans="16:26">
      <c r="P185" s="133"/>
      <c r="Q185" s="133"/>
      <c r="R185" s="133"/>
      <c r="S185" s="133"/>
      <c r="T185" s="133"/>
      <c r="U185" s="133"/>
      <c r="V185" s="133"/>
      <c r="W185" s="133"/>
      <c r="X185" s="133"/>
      <c r="Y185" s="133"/>
      <c r="Z185" s="133"/>
    </row>
    <row r="186" spans="16:26">
      <c r="P186" s="133"/>
      <c r="Q186" s="133"/>
      <c r="R186" s="133"/>
      <c r="S186" s="133"/>
      <c r="T186" s="133"/>
      <c r="U186" s="133"/>
      <c r="V186" s="133"/>
      <c r="W186" s="133"/>
      <c r="X186" s="133"/>
      <c r="Y186" s="133"/>
      <c r="Z186" s="133"/>
    </row>
    <row r="187" spans="16:26">
      <c r="P187" s="133"/>
      <c r="Q187" s="133"/>
      <c r="R187" s="133"/>
      <c r="S187" s="133"/>
      <c r="T187" s="133"/>
      <c r="U187" s="133"/>
      <c r="V187" s="133"/>
      <c r="W187" s="133"/>
      <c r="X187" s="133"/>
      <c r="Y187" s="133"/>
      <c r="Z187" s="133"/>
    </row>
    <row r="188" spans="16:26">
      <c r="P188" s="133"/>
      <c r="Q188" s="133"/>
      <c r="R188" s="133"/>
      <c r="S188" s="133"/>
      <c r="T188" s="133"/>
      <c r="U188" s="133"/>
      <c r="V188" s="133"/>
      <c r="W188" s="133"/>
      <c r="X188" s="133"/>
      <c r="Y188" s="133"/>
      <c r="Z188" s="133"/>
    </row>
    <row r="189" spans="16:26">
      <c r="P189" s="133"/>
      <c r="Q189" s="133"/>
      <c r="R189" s="133"/>
      <c r="S189" s="133"/>
      <c r="T189" s="133"/>
      <c r="U189" s="133"/>
      <c r="V189" s="133"/>
      <c r="W189" s="133"/>
      <c r="X189" s="133"/>
      <c r="Y189" s="133"/>
      <c r="Z189" s="133"/>
    </row>
    <row r="190" spans="16:26">
      <c r="P190" s="133"/>
      <c r="Q190" s="133"/>
      <c r="R190" s="133"/>
      <c r="S190" s="133"/>
      <c r="T190" s="133"/>
      <c r="U190" s="133"/>
      <c r="V190" s="133"/>
      <c r="W190" s="133"/>
      <c r="X190" s="133"/>
      <c r="Y190" s="133"/>
      <c r="Z190" s="133"/>
    </row>
    <row r="191" spans="16:26">
      <c r="P191" s="133"/>
      <c r="Q191" s="133"/>
      <c r="R191" s="133"/>
      <c r="S191" s="133"/>
      <c r="T191" s="133"/>
      <c r="U191" s="133"/>
      <c r="V191" s="133"/>
      <c r="W191" s="133"/>
      <c r="X191" s="133"/>
      <c r="Y191" s="133"/>
      <c r="Z191" s="133"/>
    </row>
    <row r="192" spans="16:26">
      <c r="P192" s="133"/>
      <c r="Q192" s="133"/>
      <c r="R192" s="133"/>
      <c r="S192" s="133"/>
      <c r="T192" s="133"/>
      <c r="U192" s="133"/>
      <c r="V192" s="133"/>
      <c r="W192" s="133"/>
      <c r="X192" s="133"/>
      <c r="Y192" s="133"/>
      <c r="Z192" s="133"/>
    </row>
    <row r="193" spans="16:26">
      <c r="P193" s="133"/>
      <c r="Q193" s="133"/>
      <c r="R193" s="133"/>
      <c r="S193" s="133"/>
      <c r="T193" s="133"/>
      <c r="U193" s="133"/>
      <c r="V193" s="133"/>
      <c r="W193" s="133"/>
      <c r="X193" s="133"/>
      <c r="Y193" s="133"/>
      <c r="Z193" s="133"/>
    </row>
    <row r="194" spans="16:26">
      <c r="P194" s="133"/>
      <c r="Q194" s="133"/>
      <c r="R194" s="133"/>
      <c r="S194" s="133"/>
      <c r="T194" s="133"/>
      <c r="U194" s="133"/>
      <c r="V194" s="133"/>
      <c r="W194" s="133"/>
      <c r="X194" s="133"/>
      <c r="Y194" s="133"/>
      <c r="Z194" s="133"/>
    </row>
    <row r="195" spans="16:26">
      <c r="P195" s="133"/>
      <c r="Q195" s="133"/>
      <c r="R195" s="133"/>
      <c r="S195" s="133"/>
      <c r="T195" s="133"/>
      <c r="U195" s="133"/>
      <c r="V195" s="133"/>
      <c r="W195" s="133"/>
      <c r="X195" s="133"/>
      <c r="Y195" s="133"/>
      <c r="Z195" s="133"/>
    </row>
    <row r="196" spans="16:26">
      <c r="P196" s="133"/>
      <c r="Q196" s="133"/>
      <c r="R196" s="133"/>
      <c r="S196" s="133"/>
      <c r="T196" s="133"/>
      <c r="U196" s="133"/>
      <c r="V196" s="133"/>
      <c r="W196" s="133"/>
      <c r="X196" s="133"/>
      <c r="Y196" s="133"/>
      <c r="Z196" s="133"/>
    </row>
    <row r="197" spans="16:26">
      <c r="P197" s="133"/>
      <c r="Q197" s="133"/>
      <c r="R197" s="133"/>
      <c r="S197" s="133"/>
      <c r="T197" s="133"/>
      <c r="U197" s="133"/>
      <c r="V197" s="133"/>
      <c r="W197" s="133"/>
      <c r="X197" s="133"/>
      <c r="Y197" s="133"/>
      <c r="Z197" s="133"/>
    </row>
    <row r="198" spans="16:26">
      <c r="P198" s="133"/>
      <c r="Q198" s="133"/>
      <c r="R198" s="133"/>
      <c r="S198" s="133"/>
      <c r="T198" s="133"/>
      <c r="U198" s="133"/>
      <c r="V198" s="133"/>
      <c r="W198" s="133"/>
      <c r="X198" s="133"/>
      <c r="Y198" s="133"/>
      <c r="Z198" s="133"/>
    </row>
    <row r="199" spans="16:26">
      <c r="P199" s="133"/>
      <c r="Q199" s="133"/>
      <c r="R199" s="133"/>
      <c r="S199" s="133"/>
      <c r="T199" s="133"/>
      <c r="U199" s="133"/>
      <c r="V199" s="133"/>
      <c r="W199" s="133"/>
      <c r="X199" s="133"/>
      <c r="Y199" s="133"/>
      <c r="Z199" s="133"/>
    </row>
    <row r="200" spans="16:26">
      <c r="P200" s="133"/>
      <c r="Q200" s="133"/>
      <c r="R200" s="133"/>
      <c r="S200" s="133"/>
      <c r="T200" s="133"/>
      <c r="U200" s="133"/>
      <c r="V200" s="133"/>
      <c r="W200" s="133"/>
      <c r="X200" s="133"/>
      <c r="Y200" s="133"/>
      <c r="Z200" s="133"/>
    </row>
    <row r="201" spans="16:26">
      <c r="P201" s="133"/>
      <c r="Q201" s="133"/>
      <c r="R201" s="133"/>
      <c r="S201" s="133"/>
      <c r="T201" s="133"/>
      <c r="U201" s="133"/>
      <c r="V201" s="133"/>
      <c r="W201" s="133"/>
      <c r="X201" s="133"/>
      <c r="Y201" s="133"/>
      <c r="Z201" s="133"/>
    </row>
    <row r="202" spans="16:26">
      <c r="P202" s="133"/>
      <c r="Q202" s="133"/>
      <c r="R202" s="133"/>
      <c r="S202" s="133"/>
      <c r="T202" s="133"/>
      <c r="U202" s="133"/>
      <c r="V202" s="133"/>
      <c r="W202" s="133"/>
      <c r="X202" s="133"/>
      <c r="Y202" s="133"/>
      <c r="Z202" s="133"/>
    </row>
    <row r="203" spans="16:26">
      <c r="P203" s="133"/>
      <c r="Q203" s="133"/>
      <c r="R203" s="133"/>
      <c r="S203" s="133"/>
      <c r="T203" s="133"/>
      <c r="U203" s="133"/>
      <c r="V203" s="133"/>
      <c r="W203" s="133"/>
      <c r="X203" s="133"/>
      <c r="Y203" s="133"/>
      <c r="Z203" s="133"/>
    </row>
    <row r="204" spans="16:26">
      <c r="P204" s="133"/>
      <c r="Q204" s="133"/>
      <c r="R204" s="133"/>
      <c r="S204" s="133"/>
      <c r="T204" s="133"/>
      <c r="U204" s="133"/>
      <c r="V204" s="133"/>
      <c r="W204" s="133"/>
      <c r="X204" s="133"/>
      <c r="Y204" s="133"/>
      <c r="Z204" s="133"/>
    </row>
    <row r="205" spans="16:26">
      <c r="P205" s="133"/>
      <c r="Q205" s="133"/>
      <c r="R205" s="133"/>
      <c r="S205" s="133"/>
      <c r="T205" s="133"/>
      <c r="U205" s="133"/>
      <c r="V205" s="133"/>
      <c r="W205" s="133"/>
      <c r="X205" s="133"/>
      <c r="Y205" s="133"/>
      <c r="Z205" s="133"/>
    </row>
    <row r="206" spans="16:26">
      <c r="P206" s="133"/>
      <c r="Q206" s="133"/>
      <c r="R206" s="133"/>
      <c r="S206" s="133"/>
      <c r="T206" s="133"/>
      <c r="U206" s="133"/>
      <c r="V206" s="133"/>
      <c r="W206" s="133"/>
      <c r="X206" s="133"/>
      <c r="Y206" s="133"/>
      <c r="Z206" s="133"/>
    </row>
    <row r="207" spans="16:26">
      <c r="P207" s="133"/>
      <c r="Q207" s="133"/>
      <c r="R207" s="133"/>
      <c r="S207" s="133"/>
      <c r="T207" s="133"/>
      <c r="U207" s="133"/>
      <c r="V207" s="133"/>
      <c r="W207" s="133"/>
      <c r="X207" s="133"/>
      <c r="Y207" s="133"/>
      <c r="Z207" s="133"/>
    </row>
    <row r="208" spans="16:26">
      <c r="P208" s="133"/>
      <c r="Q208" s="133"/>
      <c r="R208" s="133"/>
      <c r="S208" s="133"/>
      <c r="T208" s="133"/>
      <c r="U208" s="133"/>
      <c r="V208" s="133"/>
      <c r="W208" s="133"/>
      <c r="X208" s="133"/>
      <c r="Y208" s="133"/>
      <c r="Z208" s="133"/>
    </row>
    <row r="209" spans="16:26">
      <c r="P209" s="133"/>
      <c r="Q209" s="133"/>
      <c r="R209" s="133"/>
      <c r="S209" s="133"/>
      <c r="T209" s="133"/>
      <c r="U209" s="133"/>
      <c r="V209" s="133"/>
      <c r="W209" s="133"/>
      <c r="X209" s="133"/>
      <c r="Y209" s="133"/>
      <c r="Z209" s="133"/>
    </row>
    <row r="210" spans="16:26">
      <c r="P210" s="133"/>
      <c r="Q210" s="133"/>
      <c r="R210" s="133"/>
      <c r="S210" s="133"/>
      <c r="T210" s="133"/>
      <c r="U210" s="133"/>
      <c r="V210" s="133"/>
      <c r="W210" s="133"/>
      <c r="X210" s="133"/>
      <c r="Y210" s="133"/>
      <c r="Z210" s="133"/>
    </row>
    <row r="211" spans="16:26">
      <c r="P211" s="133"/>
      <c r="Q211" s="133"/>
      <c r="R211" s="133"/>
      <c r="S211" s="133"/>
      <c r="T211" s="133"/>
      <c r="U211" s="133"/>
      <c r="V211" s="133"/>
      <c r="W211" s="133"/>
      <c r="X211" s="133"/>
      <c r="Y211" s="133"/>
      <c r="Z211" s="133"/>
    </row>
    <row r="212" spans="16:26">
      <c r="P212" s="133"/>
      <c r="Q212" s="133"/>
      <c r="R212" s="133"/>
      <c r="S212" s="133"/>
      <c r="T212" s="133"/>
      <c r="U212" s="133"/>
      <c r="V212" s="133"/>
      <c r="W212" s="133"/>
      <c r="X212" s="133"/>
      <c r="Y212" s="133"/>
      <c r="Z212" s="133"/>
    </row>
    <row r="213" spans="16:26">
      <c r="P213" s="133"/>
      <c r="Q213" s="133"/>
      <c r="R213" s="133"/>
      <c r="S213" s="133"/>
      <c r="T213" s="133"/>
      <c r="U213" s="133"/>
      <c r="V213" s="133"/>
      <c r="W213" s="133"/>
      <c r="X213" s="133"/>
      <c r="Y213" s="133"/>
      <c r="Z213" s="133"/>
    </row>
    <row r="214" spans="16:26">
      <c r="P214" s="133"/>
      <c r="Q214" s="133"/>
      <c r="R214" s="133"/>
      <c r="S214" s="133"/>
      <c r="T214" s="133"/>
      <c r="U214" s="133"/>
      <c r="V214" s="133"/>
      <c r="W214" s="133"/>
      <c r="X214" s="133"/>
      <c r="Y214" s="133"/>
      <c r="Z214" s="133"/>
    </row>
    <row r="215" spans="16:26">
      <c r="P215" s="133"/>
      <c r="Q215" s="133"/>
      <c r="R215" s="133"/>
      <c r="S215" s="133"/>
      <c r="T215" s="133"/>
      <c r="U215" s="133"/>
      <c r="V215" s="133"/>
      <c r="W215" s="133"/>
      <c r="X215" s="133"/>
      <c r="Y215" s="133"/>
      <c r="Z215" s="133"/>
    </row>
    <row r="216" spans="16:26">
      <c r="P216" s="133"/>
      <c r="Q216" s="133"/>
      <c r="R216" s="133"/>
      <c r="S216" s="133"/>
      <c r="T216" s="133"/>
      <c r="U216" s="133"/>
      <c r="V216" s="133"/>
      <c r="W216" s="133"/>
      <c r="X216" s="133"/>
      <c r="Y216" s="133"/>
      <c r="Z216" s="133"/>
    </row>
    <row r="217" spans="16:26">
      <c r="P217" s="133"/>
      <c r="Q217" s="133"/>
      <c r="R217" s="133"/>
      <c r="S217" s="133"/>
      <c r="T217" s="133"/>
      <c r="U217" s="133"/>
      <c r="V217" s="133"/>
      <c r="W217" s="133"/>
      <c r="X217" s="133"/>
      <c r="Y217" s="133"/>
      <c r="Z217" s="133"/>
    </row>
    <row r="218" spans="16:26">
      <c r="P218" s="133"/>
      <c r="Q218" s="133"/>
      <c r="R218" s="133"/>
      <c r="S218" s="133"/>
      <c r="T218" s="133"/>
      <c r="U218" s="133"/>
      <c r="V218" s="133"/>
      <c r="W218" s="133"/>
      <c r="X218" s="133"/>
      <c r="Y218" s="133"/>
      <c r="Z218" s="133"/>
    </row>
    <row r="219" spans="16:26">
      <c r="P219" s="133"/>
      <c r="Q219" s="133"/>
      <c r="R219" s="133"/>
      <c r="S219" s="133"/>
      <c r="T219" s="133"/>
      <c r="U219" s="133"/>
      <c r="V219" s="133"/>
      <c r="W219" s="133"/>
      <c r="X219" s="133"/>
      <c r="Y219" s="133"/>
      <c r="Z219" s="133"/>
    </row>
    <row r="220" spans="16:26">
      <c r="P220" s="133"/>
      <c r="Q220" s="133"/>
      <c r="R220" s="133"/>
      <c r="S220" s="133"/>
      <c r="T220" s="133"/>
      <c r="U220" s="133"/>
      <c r="V220" s="133"/>
      <c r="W220" s="133"/>
      <c r="X220" s="133"/>
      <c r="Y220" s="133"/>
      <c r="Z220" s="133"/>
    </row>
    <row r="221" spans="16:26">
      <c r="P221" s="133"/>
      <c r="Q221" s="133"/>
      <c r="R221" s="133"/>
      <c r="S221" s="133"/>
      <c r="T221" s="133"/>
      <c r="U221" s="133"/>
      <c r="V221" s="133"/>
      <c r="W221" s="133"/>
      <c r="X221" s="133"/>
      <c r="Y221" s="133"/>
      <c r="Z221" s="133"/>
    </row>
    <row r="222" spans="16:26">
      <c r="P222" s="133"/>
      <c r="Q222" s="133"/>
      <c r="R222" s="133"/>
      <c r="S222" s="133"/>
      <c r="T222" s="133"/>
      <c r="U222" s="133"/>
      <c r="V222" s="133"/>
      <c r="W222" s="133"/>
      <c r="X222" s="133"/>
      <c r="Y222" s="133"/>
      <c r="Z222" s="133"/>
    </row>
    <row r="223" spans="16:26">
      <c r="P223" s="133"/>
      <c r="Q223" s="133"/>
      <c r="R223" s="133"/>
      <c r="S223" s="133"/>
      <c r="T223" s="133"/>
      <c r="U223" s="133"/>
      <c r="V223" s="133"/>
      <c r="W223" s="133"/>
      <c r="X223" s="133"/>
      <c r="Y223" s="133"/>
      <c r="Z223" s="133"/>
    </row>
    <row r="224" spans="16:26">
      <c r="P224" s="133"/>
      <c r="Q224" s="133"/>
      <c r="R224" s="133"/>
      <c r="S224" s="133"/>
      <c r="T224" s="133"/>
      <c r="U224" s="133"/>
      <c r="V224" s="133"/>
      <c r="W224" s="133"/>
      <c r="X224" s="133"/>
      <c r="Y224" s="133"/>
      <c r="Z224" s="133"/>
    </row>
    <row r="225" spans="16:26">
      <c r="P225" s="133"/>
      <c r="Q225" s="133"/>
      <c r="R225" s="133"/>
      <c r="S225" s="133"/>
      <c r="T225" s="133"/>
      <c r="U225" s="133"/>
      <c r="V225" s="133"/>
      <c r="W225" s="133"/>
      <c r="X225" s="133"/>
      <c r="Y225" s="133"/>
      <c r="Z225" s="133"/>
    </row>
    <row r="226" spans="16:26">
      <c r="P226" s="133"/>
      <c r="Q226" s="133"/>
      <c r="R226" s="133"/>
      <c r="S226" s="133"/>
      <c r="T226" s="133"/>
      <c r="U226" s="133"/>
      <c r="V226" s="133"/>
      <c r="W226" s="133"/>
      <c r="X226" s="133"/>
      <c r="Y226" s="133"/>
      <c r="Z226" s="133"/>
    </row>
    <row r="227" spans="16:26">
      <c r="P227" s="133"/>
      <c r="Q227" s="133"/>
      <c r="R227" s="133"/>
      <c r="S227" s="133"/>
      <c r="T227" s="133"/>
      <c r="U227" s="133"/>
      <c r="V227" s="133"/>
      <c r="W227" s="133"/>
      <c r="X227" s="133"/>
      <c r="Y227" s="133"/>
      <c r="Z227" s="133"/>
    </row>
    <row r="228" spans="16:26">
      <c r="P228" s="133"/>
      <c r="Q228" s="133"/>
      <c r="R228" s="133"/>
      <c r="S228" s="133"/>
      <c r="T228" s="133"/>
      <c r="U228" s="133"/>
      <c r="V228" s="133"/>
      <c r="W228" s="133"/>
      <c r="X228" s="133"/>
      <c r="Y228" s="133"/>
      <c r="Z228" s="133"/>
    </row>
    <row r="229" spans="16:26">
      <c r="P229" s="133"/>
      <c r="Q229" s="133"/>
      <c r="R229" s="133"/>
      <c r="S229" s="133"/>
      <c r="T229" s="133"/>
      <c r="U229" s="133"/>
      <c r="V229" s="133"/>
      <c r="W229" s="133"/>
      <c r="X229" s="133"/>
      <c r="Y229" s="133"/>
      <c r="Z229" s="133"/>
    </row>
    <row r="230" spans="16:26">
      <c r="P230" s="133"/>
      <c r="Q230" s="133"/>
      <c r="R230" s="133"/>
      <c r="S230" s="133"/>
      <c r="T230" s="133"/>
      <c r="U230" s="133"/>
      <c r="V230" s="133"/>
      <c r="W230" s="133"/>
      <c r="X230" s="133"/>
      <c r="Y230" s="133"/>
      <c r="Z230" s="133"/>
    </row>
    <row r="231" spans="16:26">
      <c r="P231" s="133"/>
      <c r="Q231" s="133"/>
      <c r="R231" s="133"/>
      <c r="S231" s="133"/>
      <c r="T231" s="133"/>
      <c r="U231" s="133"/>
      <c r="V231" s="133"/>
      <c r="W231" s="133"/>
      <c r="X231" s="133"/>
      <c r="Y231" s="133"/>
      <c r="Z231" s="133"/>
    </row>
    <row r="232" spans="16:26">
      <c r="P232" s="133"/>
      <c r="Q232" s="133"/>
      <c r="R232" s="133"/>
      <c r="S232" s="133"/>
      <c r="T232" s="133"/>
      <c r="U232" s="133"/>
      <c r="V232" s="133"/>
      <c r="W232" s="133"/>
      <c r="X232" s="133"/>
      <c r="Y232" s="133"/>
      <c r="Z232" s="133"/>
    </row>
    <row r="233" spans="16:26">
      <c r="P233" s="133"/>
      <c r="Q233" s="133"/>
      <c r="R233" s="133"/>
      <c r="S233" s="133"/>
      <c r="T233" s="133"/>
      <c r="U233" s="133"/>
      <c r="V233" s="133"/>
      <c r="W233" s="133"/>
      <c r="X233" s="133"/>
      <c r="Y233" s="133"/>
      <c r="Z233" s="133"/>
    </row>
    <row r="234" spans="16:26">
      <c r="P234" s="133"/>
      <c r="Q234" s="133"/>
      <c r="R234" s="133"/>
      <c r="S234" s="133"/>
      <c r="T234" s="133"/>
      <c r="U234" s="133"/>
      <c r="V234" s="133"/>
      <c r="W234" s="133"/>
      <c r="X234" s="133"/>
      <c r="Y234" s="133"/>
      <c r="Z234" s="133"/>
    </row>
    <row r="235" spans="16:26">
      <c r="P235" s="133"/>
      <c r="Q235" s="133"/>
      <c r="R235" s="133"/>
      <c r="S235" s="133"/>
      <c r="T235" s="133"/>
      <c r="U235" s="133"/>
      <c r="V235" s="133"/>
      <c r="W235" s="133"/>
      <c r="X235" s="133"/>
      <c r="Y235" s="133"/>
      <c r="Z235" s="133"/>
    </row>
    <row r="236" spans="16:26">
      <c r="P236" s="133"/>
      <c r="Q236" s="133"/>
      <c r="R236" s="133"/>
      <c r="S236" s="133"/>
      <c r="T236" s="133"/>
      <c r="U236" s="133"/>
      <c r="V236" s="133"/>
      <c r="W236" s="133"/>
      <c r="X236" s="133"/>
      <c r="Y236" s="133"/>
      <c r="Z236" s="133"/>
    </row>
    <row r="237" spans="16:26">
      <c r="P237" s="133"/>
      <c r="Q237" s="133"/>
      <c r="R237" s="133"/>
      <c r="S237" s="133"/>
      <c r="T237" s="133"/>
      <c r="U237" s="133"/>
      <c r="V237" s="133"/>
      <c r="W237" s="133"/>
      <c r="X237" s="133"/>
      <c r="Y237" s="133"/>
      <c r="Z237" s="133"/>
    </row>
    <row r="238" spans="16:26">
      <c r="P238" s="133"/>
      <c r="Q238" s="133"/>
      <c r="R238" s="133"/>
      <c r="S238" s="133"/>
      <c r="T238" s="133"/>
      <c r="U238" s="133"/>
      <c r="V238" s="133"/>
      <c r="W238" s="133"/>
      <c r="X238" s="133"/>
      <c r="Y238" s="133"/>
      <c r="Z238" s="133"/>
    </row>
    <row r="239" spans="16:26">
      <c r="P239" s="133"/>
      <c r="Q239" s="133"/>
      <c r="R239" s="133"/>
      <c r="S239" s="133"/>
      <c r="T239" s="133"/>
      <c r="U239" s="133"/>
      <c r="V239" s="133"/>
      <c r="W239" s="133"/>
      <c r="X239" s="133"/>
      <c r="Y239" s="133"/>
      <c r="Z239" s="133"/>
    </row>
    <row r="240" spans="16:26">
      <c r="P240" s="133"/>
      <c r="Q240" s="133"/>
      <c r="R240" s="133"/>
      <c r="S240" s="133"/>
      <c r="T240" s="133"/>
      <c r="U240" s="133"/>
      <c r="V240" s="133"/>
      <c r="W240" s="133"/>
      <c r="X240" s="133"/>
      <c r="Y240" s="133"/>
      <c r="Z240" s="133"/>
    </row>
    <row r="241" spans="16:26">
      <c r="P241" s="133"/>
      <c r="Q241" s="133"/>
      <c r="R241" s="133"/>
      <c r="S241" s="133"/>
      <c r="T241" s="133"/>
      <c r="U241" s="133"/>
      <c r="V241" s="133"/>
      <c r="W241" s="133"/>
      <c r="X241" s="133"/>
      <c r="Y241" s="133"/>
      <c r="Z241" s="133"/>
    </row>
    <row r="242" spans="16:26">
      <c r="P242" s="133"/>
      <c r="Q242" s="133"/>
      <c r="R242" s="133"/>
      <c r="S242" s="133"/>
      <c r="T242" s="133"/>
      <c r="U242" s="133"/>
      <c r="V242" s="133"/>
      <c r="W242" s="133"/>
      <c r="X242" s="133"/>
      <c r="Y242" s="133"/>
      <c r="Z242" s="133"/>
    </row>
    <row r="243" spans="16:26">
      <c r="P243" s="133"/>
      <c r="Q243" s="133"/>
      <c r="R243" s="133"/>
      <c r="S243" s="133"/>
      <c r="T243" s="133"/>
      <c r="U243" s="133"/>
      <c r="V243" s="133"/>
      <c r="W243" s="133"/>
      <c r="X243" s="133"/>
      <c r="Y243" s="133"/>
      <c r="Z243" s="133"/>
    </row>
    <row r="244" spans="16:26">
      <c r="P244" s="133"/>
      <c r="Q244" s="133"/>
      <c r="R244" s="133"/>
      <c r="S244" s="133"/>
      <c r="T244" s="133"/>
      <c r="U244" s="133"/>
      <c r="V244" s="133"/>
      <c r="W244" s="133"/>
      <c r="X244" s="133"/>
      <c r="Y244" s="133"/>
      <c r="Z244" s="133"/>
    </row>
    <row r="245" spans="16:26">
      <c r="P245" s="133"/>
      <c r="Q245" s="133"/>
      <c r="R245" s="133"/>
      <c r="S245" s="133"/>
      <c r="T245" s="133"/>
      <c r="U245" s="133"/>
      <c r="V245" s="133"/>
      <c r="W245" s="133"/>
      <c r="X245" s="133"/>
      <c r="Y245" s="133"/>
      <c r="Z245" s="133"/>
    </row>
    <row r="246" spans="16:26">
      <c r="P246" s="133"/>
      <c r="Q246" s="133"/>
      <c r="R246" s="133"/>
      <c r="S246" s="133"/>
      <c r="T246" s="133"/>
      <c r="U246" s="133"/>
      <c r="V246" s="133"/>
      <c r="W246" s="133"/>
      <c r="X246" s="133"/>
      <c r="Y246" s="133"/>
      <c r="Z246" s="133"/>
    </row>
    <row r="247" spans="16:26">
      <c r="P247" s="133"/>
      <c r="Q247" s="133"/>
      <c r="R247" s="133"/>
      <c r="S247" s="133"/>
      <c r="T247" s="133"/>
      <c r="U247" s="133"/>
      <c r="V247" s="133"/>
      <c r="W247" s="133"/>
      <c r="X247" s="133"/>
      <c r="Y247" s="133"/>
      <c r="Z247" s="133"/>
    </row>
    <row r="248" spans="16:26">
      <c r="P248" s="133"/>
      <c r="Q248" s="133"/>
      <c r="R248" s="133"/>
      <c r="S248" s="133"/>
      <c r="T248" s="133"/>
      <c r="U248" s="133"/>
      <c r="V248" s="133"/>
      <c r="W248" s="133"/>
      <c r="X248" s="133"/>
      <c r="Y248" s="133"/>
      <c r="Z248" s="133"/>
    </row>
    <row r="249" spans="16:26">
      <c r="P249" s="133"/>
      <c r="Q249" s="133"/>
      <c r="R249" s="133"/>
      <c r="S249" s="133"/>
      <c r="T249" s="133"/>
      <c r="U249" s="133"/>
      <c r="V249" s="133"/>
      <c r="W249" s="133"/>
      <c r="X249" s="133"/>
      <c r="Y249" s="133"/>
      <c r="Z249" s="133"/>
    </row>
    <row r="250" spans="16:26">
      <c r="P250" s="133"/>
      <c r="Q250" s="133"/>
      <c r="R250" s="133"/>
      <c r="S250" s="133"/>
      <c r="T250" s="133"/>
      <c r="U250" s="133"/>
      <c r="V250" s="133"/>
      <c r="W250" s="133"/>
      <c r="X250" s="133"/>
      <c r="Y250" s="133"/>
      <c r="Z250" s="133"/>
    </row>
    <row r="251" spans="16:26">
      <c r="P251" s="133"/>
      <c r="Q251" s="133"/>
      <c r="R251" s="133"/>
      <c r="S251" s="133"/>
      <c r="T251" s="133"/>
      <c r="U251" s="133"/>
      <c r="V251" s="133"/>
      <c r="W251" s="133"/>
      <c r="X251" s="133"/>
      <c r="Y251" s="133"/>
      <c r="Z251" s="133"/>
    </row>
    <row r="252" spans="16:26">
      <c r="P252" s="133"/>
      <c r="Q252" s="133"/>
      <c r="R252" s="133"/>
      <c r="S252" s="133"/>
      <c r="T252" s="133"/>
      <c r="U252" s="133"/>
      <c r="V252" s="133"/>
      <c r="W252" s="133"/>
      <c r="X252" s="133"/>
      <c r="Y252" s="133"/>
      <c r="Z252" s="133"/>
    </row>
    <row r="253" spans="16:26">
      <c r="P253" s="133"/>
      <c r="Q253" s="133"/>
      <c r="R253" s="133"/>
      <c r="S253" s="133"/>
      <c r="T253" s="133"/>
      <c r="U253" s="133"/>
      <c r="V253" s="133"/>
      <c r="W253" s="133"/>
      <c r="X253" s="133"/>
      <c r="Y253" s="133"/>
      <c r="Z253" s="133"/>
    </row>
    <row r="254" spans="16:26">
      <c r="P254" s="133"/>
      <c r="Q254" s="133"/>
      <c r="R254" s="133"/>
      <c r="S254" s="133"/>
      <c r="T254" s="133"/>
      <c r="U254" s="133"/>
      <c r="V254" s="133"/>
      <c r="W254" s="133"/>
      <c r="X254" s="133"/>
      <c r="Y254" s="133"/>
      <c r="Z254" s="133"/>
    </row>
    <row r="255" spans="16:26">
      <c r="P255" s="133"/>
      <c r="Q255" s="133"/>
      <c r="R255" s="133"/>
      <c r="S255" s="133"/>
      <c r="T255" s="133"/>
      <c r="U255" s="133"/>
      <c r="V255" s="133"/>
      <c r="W255" s="133"/>
      <c r="X255" s="133"/>
      <c r="Y255" s="133"/>
      <c r="Z255" s="133"/>
    </row>
    <row r="256" spans="16:26">
      <c r="P256" s="133"/>
      <c r="Q256" s="133"/>
      <c r="R256" s="133"/>
      <c r="S256" s="133"/>
      <c r="T256" s="133"/>
      <c r="U256" s="133"/>
      <c r="V256" s="133"/>
      <c r="W256" s="133"/>
      <c r="X256" s="133"/>
      <c r="Y256" s="133"/>
      <c r="Z256" s="133"/>
    </row>
    <row r="257" spans="16:26">
      <c r="P257" s="133"/>
      <c r="Q257" s="133"/>
      <c r="R257" s="133"/>
      <c r="S257" s="133"/>
      <c r="T257" s="133"/>
      <c r="U257" s="133"/>
      <c r="V257" s="133"/>
      <c r="W257" s="133"/>
      <c r="X257" s="133"/>
      <c r="Y257" s="133"/>
      <c r="Z257" s="133"/>
    </row>
    <row r="258" spans="16:26">
      <c r="P258" s="133"/>
      <c r="Q258" s="133"/>
      <c r="R258" s="133"/>
      <c r="S258" s="133"/>
      <c r="T258" s="133"/>
      <c r="U258" s="133"/>
      <c r="V258" s="133"/>
      <c r="W258" s="133"/>
      <c r="X258" s="133"/>
      <c r="Y258" s="133"/>
      <c r="Z258" s="133"/>
    </row>
    <row r="259" spans="16:26">
      <c r="P259" s="133"/>
      <c r="Q259" s="133"/>
      <c r="R259" s="133"/>
      <c r="S259" s="133"/>
      <c r="T259" s="133"/>
      <c r="U259" s="133"/>
      <c r="V259" s="133"/>
      <c r="W259" s="133"/>
      <c r="X259" s="133"/>
      <c r="Y259" s="133"/>
      <c r="Z259" s="133"/>
    </row>
    <row r="260" spans="16:26">
      <c r="P260" s="133"/>
      <c r="Q260" s="133"/>
      <c r="R260" s="133"/>
      <c r="S260" s="133"/>
      <c r="T260" s="133"/>
      <c r="U260" s="133"/>
      <c r="V260" s="133"/>
      <c r="W260" s="133"/>
      <c r="X260" s="133"/>
      <c r="Y260" s="133"/>
      <c r="Z260" s="133"/>
    </row>
    <row r="261" spans="16:26">
      <c r="P261" s="133"/>
      <c r="Q261" s="133"/>
      <c r="R261" s="133"/>
      <c r="S261" s="133"/>
      <c r="T261" s="133"/>
      <c r="U261" s="133"/>
      <c r="V261" s="133"/>
      <c r="W261" s="133"/>
      <c r="X261" s="133"/>
      <c r="Y261" s="133"/>
      <c r="Z261" s="133"/>
    </row>
    <row r="262" spans="16:26">
      <c r="P262" s="133"/>
      <c r="Q262" s="133"/>
      <c r="R262" s="133"/>
      <c r="S262" s="133"/>
      <c r="T262" s="133"/>
      <c r="U262" s="133"/>
      <c r="V262" s="133"/>
      <c r="W262" s="133"/>
      <c r="X262" s="133"/>
      <c r="Y262" s="133"/>
      <c r="Z262" s="133"/>
    </row>
    <row r="263" spans="16:26">
      <c r="P263" s="133"/>
      <c r="Q263" s="133"/>
      <c r="R263" s="133"/>
      <c r="S263" s="133"/>
      <c r="T263" s="133"/>
      <c r="U263" s="133"/>
      <c r="V263" s="133"/>
      <c r="W263" s="133"/>
      <c r="X263" s="133"/>
      <c r="Y263" s="133"/>
      <c r="Z263" s="133"/>
    </row>
    <row r="264" spans="16:26">
      <c r="P264" s="133"/>
      <c r="Q264" s="133"/>
      <c r="R264" s="133"/>
      <c r="S264" s="133"/>
      <c r="T264" s="133"/>
      <c r="U264" s="133"/>
      <c r="V264" s="133"/>
      <c r="W264" s="133"/>
      <c r="X264" s="133"/>
      <c r="Y264" s="133"/>
      <c r="Z264" s="133"/>
    </row>
    <row r="265" spans="16:26">
      <c r="P265" s="133"/>
      <c r="Q265" s="133"/>
      <c r="R265" s="133"/>
      <c r="S265" s="133"/>
      <c r="T265" s="133"/>
      <c r="U265" s="133"/>
      <c r="V265" s="133"/>
      <c r="W265" s="133"/>
      <c r="X265" s="133"/>
      <c r="Y265" s="133"/>
      <c r="Z265" s="133"/>
    </row>
    <row r="266" spans="16:26">
      <c r="P266" s="133"/>
      <c r="Q266" s="133"/>
      <c r="R266" s="133"/>
      <c r="S266" s="133"/>
      <c r="T266" s="133"/>
      <c r="U266" s="133"/>
      <c r="V266" s="133"/>
      <c r="W266" s="133"/>
      <c r="X266" s="133"/>
      <c r="Y266" s="133"/>
      <c r="Z266" s="133"/>
    </row>
    <row r="267" spans="16:26">
      <c r="P267" s="133"/>
      <c r="Q267" s="133"/>
      <c r="R267" s="133"/>
      <c r="S267" s="133"/>
      <c r="T267" s="133"/>
      <c r="U267" s="133"/>
      <c r="V267" s="133"/>
      <c r="W267" s="133"/>
      <c r="X267" s="133"/>
      <c r="Y267" s="133"/>
      <c r="Z267" s="133"/>
    </row>
    <row r="268" spans="16:26">
      <c r="P268" s="133"/>
      <c r="Q268" s="133"/>
      <c r="R268" s="133"/>
      <c r="S268" s="133"/>
      <c r="T268" s="133"/>
      <c r="U268" s="133"/>
      <c r="V268" s="133"/>
      <c r="W268" s="133"/>
      <c r="X268" s="133"/>
      <c r="Y268" s="133"/>
      <c r="Z268" s="133"/>
    </row>
    <row r="269" spans="16:26">
      <c r="P269" s="133"/>
      <c r="Q269" s="133"/>
      <c r="R269" s="133"/>
      <c r="S269" s="133"/>
      <c r="T269" s="133"/>
      <c r="U269" s="133"/>
      <c r="V269" s="133"/>
      <c r="W269" s="133"/>
      <c r="X269" s="133"/>
      <c r="Y269" s="133"/>
      <c r="Z269" s="133"/>
    </row>
    <row r="270" spans="16:26">
      <c r="P270" s="133"/>
      <c r="Q270" s="133"/>
      <c r="R270" s="133"/>
      <c r="S270" s="133"/>
      <c r="T270" s="133"/>
      <c r="U270" s="133"/>
      <c r="V270" s="133"/>
      <c r="W270" s="133"/>
      <c r="X270" s="133"/>
      <c r="Y270" s="133"/>
      <c r="Z270" s="133"/>
    </row>
    <row r="271" spans="16:26">
      <c r="P271" s="133"/>
      <c r="Q271" s="133"/>
      <c r="R271" s="133"/>
      <c r="S271" s="133"/>
      <c r="T271" s="133"/>
      <c r="U271" s="133"/>
      <c r="V271" s="133"/>
      <c r="W271" s="133"/>
      <c r="X271" s="133"/>
      <c r="Y271" s="133"/>
      <c r="Z271" s="133"/>
    </row>
    <row r="272" spans="16:26">
      <c r="P272" s="133"/>
      <c r="Q272" s="133"/>
      <c r="R272" s="133"/>
      <c r="S272" s="133"/>
      <c r="T272" s="133"/>
      <c r="U272" s="133"/>
      <c r="V272" s="133"/>
      <c r="W272" s="133"/>
      <c r="X272" s="133"/>
      <c r="Y272" s="133"/>
      <c r="Z272" s="133"/>
    </row>
    <row r="273" spans="16:26">
      <c r="P273" s="133"/>
      <c r="Q273" s="133"/>
      <c r="R273" s="133"/>
      <c r="S273" s="133"/>
      <c r="T273" s="133"/>
      <c r="U273" s="133"/>
      <c r="V273" s="133"/>
      <c r="W273" s="133"/>
      <c r="X273" s="133"/>
      <c r="Y273" s="133"/>
      <c r="Z273" s="133"/>
    </row>
    <row r="274" spans="16:26">
      <c r="P274" s="133"/>
      <c r="Q274" s="133"/>
      <c r="R274" s="133"/>
      <c r="S274" s="133"/>
      <c r="T274" s="133"/>
      <c r="U274" s="133"/>
      <c r="V274" s="133"/>
      <c r="W274" s="133"/>
      <c r="X274" s="133"/>
      <c r="Y274" s="133"/>
      <c r="Z274" s="133"/>
    </row>
    <row r="275" spans="16:26">
      <c r="P275" s="133"/>
      <c r="Q275" s="133"/>
      <c r="R275" s="133"/>
      <c r="S275" s="133"/>
      <c r="T275" s="133"/>
      <c r="U275" s="133"/>
      <c r="V275" s="133"/>
      <c r="W275" s="133"/>
      <c r="X275" s="133"/>
      <c r="Y275" s="133"/>
      <c r="Z275" s="133"/>
    </row>
    <row r="276" spans="16:26">
      <c r="P276" s="133"/>
      <c r="Q276" s="133"/>
      <c r="R276" s="133"/>
      <c r="S276" s="133"/>
      <c r="T276" s="133"/>
      <c r="U276" s="133"/>
      <c r="V276" s="133"/>
      <c r="W276" s="133"/>
      <c r="X276" s="133"/>
      <c r="Y276" s="133"/>
      <c r="Z276" s="133"/>
    </row>
    <row r="277" spans="16:26">
      <c r="P277" s="133"/>
      <c r="Q277" s="133"/>
      <c r="R277" s="133"/>
      <c r="S277" s="133"/>
      <c r="T277" s="133"/>
      <c r="U277" s="133"/>
      <c r="V277" s="133"/>
      <c r="W277" s="133"/>
      <c r="X277" s="133"/>
      <c r="Y277" s="133"/>
      <c r="Z277" s="133"/>
    </row>
    <row r="278" spans="16:26">
      <c r="P278" s="133"/>
      <c r="Q278" s="133"/>
      <c r="R278" s="133"/>
      <c r="S278" s="133"/>
      <c r="T278" s="133"/>
      <c r="U278" s="133"/>
      <c r="V278" s="133"/>
      <c r="W278" s="133"/>
      <c r="X278" s="133"/>
      <c r="Y278" s="133"/>
      <c r="Z278" s="133"/>
    </row>
    <row r="279" spans="16:26">
      <c r="P279" s="133"/>
      <c r="Q279" s="133"/>
      <c r="R279" s="133"/>
      <c r="S279" s="133"/>
      <c r="T279" s="133"/>
      <c r="U279" s="133"/>
      <c r="V279" s="133"/>
      <c r="W279" s="133"/>
      <c r="X279" s="133"/>
      <c r="Y279" s="133"/>
      <c r="Z279" s="133"/>
    </row>
    <row r="280" spans="16:26">
      <c r="P280" s="133"/>
      <c r="Q280" s="133"/>
      <c r="R280" s="133"/>
      <c r="S280" s="133"/>
      <c r="T280" s="133"/>
      <c r="U280" s="133"/>
      <c r="V280" s="133"/>
      <c r="W280" s="133"/>
      <c r="X280" s="133"/>
      <c r="Y280" s="133"/>
      <c r="Z280" s="133"/>
    </row>
    <row r="281" spans="16:26">
      <c r="P281" s="133"/>
      <c r="Q281" s="133"/>
      <c r="R281" s="133"/>
      <c r="S281" s="133"/>
      <c r="T281" s="133"/>
      <c r="U281" s="133"/>
      <c r="V281" s="133"/>
      <c r="W281" s="133"/>
      <c r="X281" s="133"/>
      <c r="Y281" s="133"/>
      <c r="Z281" s="133"/>
    </row>
    <row r="282" spans="16:26">
      <c r="P282" s="133"/>
      <c r="Q282" s="133"/>
      <c r="R282" s="133"/>
      <c r="S282" s="133"/>
      <c r="T282" s="133"/>
      <c r="U282" s="133"/>
      <c r="V282" s="133"/>
      <c r="W282" s="133"/>
      <c r="X282" s="133"/>
      <c r="Y282" s="133"/>
      <c r="Z282" s="133"/>
    </row>
    <row r="283" spans="16:26">
      <c r="P283" s="133"/>
      <c r="Q283" s="133"/>
      <c r="R283" s="133"/>
      <c r="S283" s="133"/>
      <c r="T283" s="133"/>
      <c r="U283" s="133"/>
      <c r="V283" s="133"/>
      <c r="W283" s="133"/>
      <c r="X283" s="133"/>
      <c r="Y283" s="133"/>
      <c r="Z283" s="133"/>
    </row>
    <row r="284" spans="16:26">
      <c r="P284" s="133"/>
      <c r="Q284" s="133"/>
      <c r="R284" s="133"/>
      <c r="S284" s="133"/>
      <c r="T284" s="133"/>
      <c r="U284" s="133"/>
      <c r="V284" s="133"/>
      <c r="W284" s="133"/>
      <c r="X284" s="133"/>
      <c r="Y284" s="133"/>
      <c r="Z284" s="133"/>
    </row>
    <row r="285" spans="16:26">
      <c r="P285" s="133"/>
      <c r="Q285" s="133"/>
      <c r="R285" s="133"/>
      <c r="S285" s="133"/>
      <c r="T285" s="133"/>
      <c r="U285" s="133"/>
      <c r="V285" s="133"/>
      <c r="W285" s="133"/>
      <c r="X285" s="133"/>
      <c r="Y285" s="133"/>
      <c r="Z285" s="133"/>
    </row>
    <row r="286" spans="16:26">
      <c r="P286" s="133"/>
      <c r="Q286" s="133"/>
      <c r="R286" s="133"/>
      <c r="S286" s="133"/>
      <c r="T286" s="133"/>
      <c r="U286" s="133"/>
      <c r="V286" s="133"/>
      <c r="W286" s="133"/>
      <c r="X286" s="133"/>
      <c r="Y286" s="133"/>
      <c r="Z286" s="133"/>
    </row>
    <row r="287" spans="16:26">
      <c r="P287" s="133"/>
      <c r="Q287" s="133"/>
      <c r="R287" s="133"/>
      <c r="S287" s="133"/>
      <c r="T287" s="133"/>
      <c r="U287" s="133"/>
      <c r="V287" s="133"/>
      <c r="W287" s="133"/>
      <c r="X287" s="133"/>
      <c r="Y287" s="133"/>
      <c r="Z287" s="133"/>
    </row>
    <row r="288" spans="16:26">
      <c r="P288" s="133"/>
      <c r="Q288" s="133"/>
      <c r="R288" s="133"/>
      <c r="S288" s="133"/>
      <c r="T288" s="133"/>
      <c r="U288" s="133"/>
      <c r="V288" s="133"/>
      <c r="W288" s="133"/>
      <c r="X288" s="133"/>
      <c r="Y288" s="133"/>
      <c r="Z288" s="133"/>
    </row>
  </sheetData>
  <autoFilter ref="F1:F286"/>
  <mergeCells count="22">
    <mergeCell ref="B135:J135"/>
    <mergeCell ref="K8:K11"/>
    <mergeCell ref="L8:L11"/>
    <mergeCell ref="M8:M11"/>
    <mergeCell ref="N8:N11"/>
    <mergeCell ref="I8:I11"/>
    <mergeCell ref="O8:O1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60"/>
  <sheetViews>
    <sheetView topLeftCell="A28" zoomScaleNormal="100" workbookViewId="0">
      <selection activeCell="L54" sqref="L54"/>
    </sheetView>
  </sheetViews>
  <sheetFormatPr defaultColWidth="9.140625" defaultRowHeight="14.25"/>
  <cols>
    <col min="1" max="1" width="5.140625" style="142" customWidth="1"/>
    <col min="2" max="2" width="41.85546875" style="142" customWidth="1"/>
    <col min="3" max="3" width="5.5703125" style="142" customWidth="1"/>
    <col min="4" max="4" width="7.28515625" style="143" customWidth="1"/>
    <col min="5" max="6" width="8.140625" style="143" customWidth="1"/>
    <col min="7" max="10" width="8.140625" style="142" customWidth="1"/>
    <col min="11" max="12" width="9.28515625" style="142" customWidth="1"/>
    <col min="13" max="13" width="9.5703125" style="142" customWidth="1"/>
    <col min="14" max="14" width="9.28515625" style="142" customWidth="1"/>
    <col min="15" max="15" width="10.28515625" style="142" customWidth="1"/>
    <col min="16" max="16" width="9.28515625" style="142" customWidth="1"/>
    <col min="17" max="243" width="9.140625" style="142"/>
    <col min="244" max="244" width="4.28515625" style="142" customWidth="1"/>
    <col min="245" max="245" width="42" style="142" customWidth="1"/>
    <col min="246" max="246" width="6.85546875" style="142" customWidth="1"/>
    <col min="247" max="247" width="10.42578125" style="142" bestFit="1" customWidth="1"/>
    <col min="248" max="248" width="9.42578125" style="142" customWidth="1"/>
    <col min="249" max="249" width="8.85546875" style="142" customWidth="1"/>
    <col min="250" max="251" width="8.7109375" style="142" customWidth="1"/>
    <col min="252" max="252" width="9.5703125" style="142" customWidth="1"/>
    <col min="253" max="253" width="9" style="142" customWidth="1"/>
    <col min="254" max="254" width="10" style="142" customWidth="1"/>
    <col min="255" max="255" width="11" style="142" customWidth="1"/>
    <col min="256" max="258" width="9.140625" style="142" customWidth="1"/>
    <col min="259" max="265" width="2.140625" style="142" customWidth="1"/>
    <col min="266" max="499" width="9.140625" style="142"/>
    <col min="500" max="500" width="4.28515625" style="142" customWidth="1"/>
    <col min="501" max="501" width="42" style="142" customWidth="1"/>
    <col min="502" max="502" width="6.85546875" style="142" customWidth="1"/>
    <col min="503" max="503" width="10.42578125" style="142" bestFit="1" customWidth="1"/>
    <col min="504" max="504" width="9.42578125" style="142" customWidth="1"/>
    <col min="505" max="505" width="8.85546875" style="142" customWidth="1"/>
    <col min="506" max="507" width="8.7109375" style="142" customWidth="1"/>
    <col min="508" max="508" width="9.5703125" style="142" customWidth="1"/>
    <col min="509" max="509" width="9" style="142" customWidth="1"/>
    <col min="510" max="510" width="10" style="142" customWidth="1"/>
    <col min="511" max="511" width="11" style="142" customWidth="1"/>
    <col min="512" max="514" width="9.140625" style="142" customWidth="1"/>
    <col min="515" max="521" width="2.140625" style="142" customWidth="1"/>
    <col min="522" max="755" width="9.140625" style="142"/>
    <col min="756" max="756" width="4.28515625" style="142" customWidth="1"/>
    <col min="757" max="757" width="42" style="142" customWidth="1"/>
    <col min="758" max="758" width="6.85546875" style="142" customWidth="1"/>
    <col min="759" max="759" width="10.42578125" style="142" bestFit="1" customWidth="1"/>
    <col min="760" max="760" width="9.42578125" style="142" customWidth="1"/>
    <col min="761" max="761" width="8.85546875" style="142" customWidth="1"/>
    <col min="762" max="763" width="8.7109375" style="142" customWidth="1"/>
    <col min="764" max="764" width="9.5703125" style="142" customWidth="1"/>
    <col min="765" max="765" width="9" style="142" customWidth="1"/>
    <col min="766" max="766" width="10" style="142" customWidth="1"/>
    <col min="767" max="767" width="11" style="142" customWidth="1"/>
    <col min="768" max="770" width="9.140625" style="142" customWidth="1"/>
    <col min="771" max="777" width="2.140625" style="142" customWidth="1"/>
    <col min="778" max="1011" width="9.140625" style="142"/>
    <col min="1012" max="1012" width="4.28515625" style="142" customWidth="1"/>
    <col min="1013" max="1013" width="42" style="142" customWidth="1"/>
    <col min="1014" max="1014" width="6.85546875" style="142" customWidth="1"/>
    <col min="1015" max="1015" width="10.42578125" style="142" bestFit="1" customWidth="1"/>
    <col min="1016" max="1016" width="9.42578125" style="142" customWidth="1"/>
    <col min="1017" max="1017" width="8.85546875" style="142" customWidth="1"/>
    <col min="1018" max="1019" width="8.7109375" style="142" customWidth="1"/>
    <col min="1020" max="1020" width="9.5703125" style="142" customWidth="1"/>
    <col min="1021" max="1021" width="9" style="142" customWidth="1"/>
    <col min="1022" max="1022" width="10" style="142" customWidth="1"/>
    <col min="1023" max="1023" width="11" style="142" customWidth="1"/>
    <col min="1024" max="1026" width="9.140625" style="142" customWidth="1"/>
    <col min="1027" max="1033" width="2.140625" style="142" customWidth="1"/>
    <col min="1034" max="1267" width="9.140625" style="142"/>
    <col min="1268" max="1268" width="4.28515625" style="142" customWidth="1"/>
    <col min="1269" max="1269" width="42" style="142" customWidth="1"/>
    <col min="1270" max="1270" width="6.85546875" style="142" customWidth="1"/>
    <col min="1271" max="1271" width="10.42578125" style="142" bestFit="1" customWidth="1"/>
    <col min="1272" max="1272" width="9.42578125" style="142" customWidth="1"/>
    <col min="1273" max="1273" width="8.85546875" style="142" customWidth="1"/>
    <col min="1274" max="1275" width="8.7109375" style="142" customWidth="1"/>
    <col min="1276" max="1276" width="9.5703125" style="142" customWidth="1"/>
    <col min="1277" max="1277" width="9" style="142" customWidth="1"/>
    <col min="1278" max="1278" width="10" style="142" customWidth="1"/>
    <col min="1279" max="1279" width="11" style="142" customWidth="1"/>
    <col min="1280" max="1282" width="9.140625" style="142" customWidth="1"/>
    <col min="1283" max="1289" width="2.140625" style="142" customWidth="1"/>
    <col min="1290" max="1523" width="9.140625" style="142"/>
    <col min="1524" max="1524" width="4.28515625" style="142" customWidth="1"/>
    <col min="1525" max="1525" width="42" style="142" customWidth="1"/>
    <col min="1526" max="1526" width="6.85546875" style="142" customWidth="1"/>
    <col min="1527" max="1527" width="10.42578125" style="142" bestFit="1" customWidth="1"/>
    <col min="1528" max="1528" width="9.42578125" style="142" customWidth="1"/>
    <col min="1529" max="1529" width="8.85546875" style="142" customWidth="1"/>
    <col min="1530" max="1531" width="8.7109375" style="142" customWidth="1"/>
    <col min="1532" max="1532" width="9.5703125" style="142" customWidth="1"/>
    <col min="1533" max="1533" width="9" style="142" customWidth="1"/>
    <col min="1534" max="1534" width="10" style="142" customWidth="1"/>
    <col min="1535" max="1535" width="11" style="142" customWidth="1"/>
    <col min="1536" max="1538" width="9.140625" style="142" customWidth="1"/>
    <col min="1539" max="1545" width="2.140625" style="142" customWidth="1"/>
    <col min="1546" max="1779" width="9.140625" style="142"/>
    <col min="1780" max="1780" width="4.28515625" style="142" customWidth="1"/>
    <col min="1781" max="1781" width="42" style="142" customWidth="1"/>
    <col min="1782" max="1782" width="6.85546875" style="142" customWidth="1"/>
    <col min="1783" max="1783" width="10.42578125" style="142" bestFit="1" customWidth="1"/>
    <col min="1784" max="1784" width="9.42578125" style="142" customWidth="1"/>
    <col min="1785" max="1785" width="8.85546875" style="142" customWidth="1"/>
    <col min="1786" max="1787" width="8.7109375" style="142" customWidth="1"/>
    <col min="1788" max="1788" width="9.5703125" style="142" customWidth="1"/>
    <col min="1789" max="1789" width="9" style="142" customWidth="1"/>
    <col min="1790" max="1790" width="10" style="142" customWidth="1"/>
    <col min="1791" max="1791" width="11" style="142" customWidth="1"/>
    <col min="1792" max="1794" width="9.140625" style="142" customWidth="1"/>
    <col min="1795" max="1801" width="2.140625" style="142" customWidth="1"/>
    <col min="1802" max="2035" width="9.140625" style="142"/>
    <col min="2036" max="2036" width="4.28515625" style="142" customWidth="1"/>
    <col min="2037" max="2037" width="42" style="142" customWidth="1"/>
    <col min="2038" max="2038" width="6.85546875" style="142" customWidth="1"/>
    <col min="2039" max="2039" width="10.42578125" style="142" bestFit="1" customWidth="1"/>
    <col min="2040" max="2040" width="9.42578125" style="142" customWidth="1"/>
    <col min="2041" max="2041" width="8.85546875" style="142" customWidth="1"/>
    <col min="2042" max="2043" width="8.7109375" style="142" customWidth="1"/>
    <col min="2044" max="2044" width="9.5703125" style="142" customWidth="1"/>
    <col min="2045" max="2045" width="9" style="142" customWidth="1"/>
    <col min="2046" max="2046" width="10" style="142" customWidth="1"/>
    <col min="2047" max="2047" width="11" style="142" customWidth="1"/>
    <col min="2048" max="2050" width="9.140625" style="142" customWidth="1"/>
    <col min="2051" max="2057" width="2.140625" style="142" customWidth="1"/>
    <col min="2058" max="2291" width="9.140625" style="142"/>
    <col min="2292" max="2292" width="4.28515625" style="142" customWidth="1"/>
    <col min="2293" max="2293" width="42" style="142" customWidth="1"/>
    <col min="2294" max="2294" width="6.85546875" style="142" customWidth="1"/>
    <col min="2295" max="2295" width="10.42578125" style="142" bestFit="1" customWidth="1"/>
    <col min="2296" max="2296" width="9.42578125" style="142" customWidth="1"/>
    <col min="2297" max="2297" width="8.85546875" style="142" customWidth="1"/>
    <col min="2298" max="2299" width="8.7109375" style="142" customWidth="1"/>
    <col min="2300" max="2300" width="9.5703125" style="142" customWidth="1"/>
    <col min="2301" max="2301" width="9" style="142" customWidth="1"/>
    <col min="2302" max="2302" width="10" style="142" customWidth="1"/>
    <col min="2303" max="2303" width="11" style="142" customWidth="1"/>
    <col min="2304" max="2306" width="9.140625" style="142" customWidth="1"/>
    <col min="2307" max="2313" width="2.140625" style="142" customWidth="1"/>
    <col min="2314" max="2547" width="9.140625" style="142"/>
    <col min="2548" max="2548" width="4.28515625" style="142" customWidth="1"/>
    <col min="2549" max="2549" width="42" style="142" customWidth="1"/>
    <col min="2550" max="2550" width="6.85546875" style="142" customWidth="1"/>
    <col min="2551" max="2551" width="10.42578125" style="142" bestFit="1" customWidth="1"/>
    <col min="2552" max="2552" width="9.42578125" style="142" customWidth="1"/>
    <col min="2553" max="2553" width="8.85546875" style="142" customWidth="1"/>
    <col min="2554" max="2555" width="8.7109375" style="142" customWidth="1"/>
    <col min="2556" max="2556" width="9.5703125" style="142" customWidth="1"/>
    <col min="2557" max="2557" width="9" style="142" customWidth="1"/>
    <col min="2558" max="2558" width="10" style="142" customWidth="1"/>
    <col min="2559" max="2559" width="11" style="142" customWidth="1"/>
    <col min="2560" max="2562" width="9.140625" style="142" customWidth="1"/>
    <col min="2563" max="2569" width="2.140625" style="142" customWidth="1"/>
    <col min="2570" max="2803" width="9.140625" style="142"/>
    <col min="2804" max="2804" width="4.28515625" style="142" customWidth="1"/>
    <col min="2805" max="2805" width="42" style="142" customWidth="1"/>
    <col min="2806" max="2806" width="6.85546875" style="142" customWidth="1"/>
    <col min="2807" max="2807" width="10.42578125" style="142" bestFit="1" customWidth="1"/>
    <col min="2808" max="2808" width="9.42578125" style="142" customWidth="1"/>
    <col min="2809" max="2809" width="8.85546875" style="142" customWidth="1"/>
    <col min="2810" max="2811" width="8.7109375" style="142" customWidth="1"/>
    <col min="2812" max="2812" width="9.5703125" style="142" customWidth="1"/>
    <col min="2813" max="2813" width="9" style="142" customWidth="1"/>
    <col min="2814" max="2814" width="10" style="142" customWidth="1"/>
    <col min="2815" max="2815" width="11" style="142" customWidth="1"/>
    <col min="2816" max="2818" width="9.140625" style="142" customWidth="1"/>
    <col min="2819" max="2825" width="2.140625" style="142" customWidth="1"/>
    <col min="2826" max="3059" width="9.140625" style="142"/>
    <col min="3060" max="3060" width="4.28515625" style="142" customWidth="1"/>
    <col min="3061" max="3061" width="42" style="142" customWidth="1"/>
    <col min="3062" max="3062" width="6.85546875" style="142" customWidth="1"/>
    <col min="3063" max="3063" width="10.42578125" style="142" bestFit="1" customWidth="1"/>
    <col min="3064" max="3064" width="9.42578125" style="142" customWidth="1"/>
    <col min="3065" max="3065" width="8.85546875" style="142" customWidth="1"/>
    <col min="3066" max="3067" width="8.7109375" style="142" customWidth="1"/>
    <col min="3068" max="3068" width="9.5703125" style="142" customWidth="1"/>
    <col min="3069" max="3069" width="9" style="142" customWidth="1"/>
    <col min="3070" max="3070" width="10" style="142" customWidth="1"/>
    <col min="3071" max="3071" width="11" style="142" customWidth="1"/>
    <col min="3072" max="3074" width="9.140625" style="142" customWidth="1"/>
    <col min="3075" max="3081" width="2.140625" style="142" customWidth="1"/>
    <col min="3082" max="3315" width="9.140625" style="142"/>
    <col min="3316" max="3316" width="4.28515625" style="142" customWidth="1"/>
    <col min="3317" max="3317" width="42" style="142" customWidth="1"/>
    <col min="3318" max="3318" width="6.85546875" style="142" customWidth="1"/>
    <col min="3319" max="3319" width="10.42578125" style="142" bestFit="1" customWidth="1"/>
    <col min="3320" max="3320" width="9.42578125" style="142" customWidth="1"/>
    <col min="3321" max="3321" width="8.85546875" style="142" customWidth="1"/>
    <col min="3322" max="3323" width="8.7109375" style="142" customWidth="1"/>
    <col min="3324" max="3324" width="9.5703125" style="142" customWidth="1"/>
    <col min="3325" max="3325" width="9" style="142" customWidth="1"/>
    <col min="3326" max="3326" width="10" style="142" customWidth="1"/>
    <col min="3327" max="3327" width="11" style="142" customWidth="1"/>
    <col min="3328" max="3330" width="9.140625" style="142" customWidth="1"/>
    <col min="3331" max="3337" width="2.140625" style="142" customWidth="1"/>
    <col min="3338" max="3571" width="9.140625" style="142"/>
    <col min="3572" max="3572" width="4.28515625" style="142" customWidth="1"/>
    <col min="3573" max="3573" width="42" style="142" customWidth="1"/>
    <col min="3574" max="3574" width="6.85546875" style="142" customWidth="1"/>
    <col min="3575" max="3575" width="10.42578125" style="142" bestFit="1" customWidth="1"/>
    <col min="3576" max="3576" width="9.42578125" style="142" customWidth="1"/>
    <col min="3577" max="3577" width="8.85546875" style="142" customWidth="1"/>
    <col min="3578" max="3579" width="8.7109375" style="142" customWidth="1"/>
    <col min="3580" max="3580" width="9.5703125" style="142" customWidth="1"/>
    <col min="3581" max="3581" width="9" style="142" customWidth="1"/>
    <col min="3582" max="3582" width="10" style="142" customWidth="1"/>
    <col min="3583" max="3583" width="11" style="142" customWidth="1"/>
    <col min="3584" max="3586" width="9.140625" style="142" customWidth="1"/>
    <col min="3587" max="3593" width="2.140625" style="142" customWidth="1"/>
    <col min="3594" max="3827" width="9.140625" style="142"/>
    <col min="3828" max="3828" width="4.28515625" style="142" customWidth="1"/>
    <col min="3829" max="3829" width="42" style="142" customWidth="1"/>
    <col min="3830" max="3830" width="6.85546875" style="142" customWidth="1"/>
    <col min="3831" max="3831" width="10.42578125" style="142" bestFit="1" customWidth="1"/>
    <col min="3832" max="3832" width="9.42578125" style="142" customWidth="1"/>
    <col min="3833" max="3833" width="8.85546875" style="142" customWidth="1"/>
    <col min="3834" max="3835" width="8.7109375" style="142" customWidth="1"/>
    <col min="3836" max="3836" width="9.5703125" style="142" customWidth="1"/>
    <col min="3837" max="3837" width="9" style="142" customWidth="1"/>
    <col min="3838" max="3838" width="10" style="142" customWidth="1"/>
    <col min="3839" max="3839" width="11" style="142" customWidth="1"/>
    <col min="3840" max="3842" width="9.140625" style="142" customWidth="1"/>
    <col min="3843" max="3849" width="2.140625" style="142" customWidth="1"/>
    <col min="3850" max="4083" width="9.140625" style="142"/>
    <col min="4084" max="4084" width="4.28515625" style="142" customWidth="1"/>
    <col min="4085" max="4085" width="42" style="142" customWidth="1"/>
    <col min="4086" max="4086" width="6.85546875" style="142" customWidth="1"/>
    <col min="4087" max="4087" width="10.42578125" style="142" bestFit="1" customWidth="1"/>
    <col min="4088" max="4088" width="9.42578125" style="142" customWidth="1"/>
    <col min="4089" max="4089" width="8.85546875" style="142" customWidth="1"/>
    <col min="4090" max="4091" width="8.7109375" style="142" customWidth="1"/>
    <col min="4092" max="4092" width="9.5703125" style="142" customWidth="1"/>
    <col min="4093" max="4093" width="9" style="142" customWidth="1"/>
    <col min="4094" max="4094" width="10" style="142" customWidth="1"/>
    <col min="4095" max="4095" width="11" style="142" customWidth="1"/>
    <col min="4096" max="4098" width="9.140625" style="142" customWidth="1"/>
    <col min="4099" max="4105" width="2.140625" style="142" customWidth="1"/>
    <col min="4106" max="4339" width="9.140625" style="142"/>
    <col min="4340" max="4340" width="4.28515625" style="142" customWidth="1"/>
    <col min="4341" max="4341" width="42" style="142" customWidth="1"/>
    <col min="4342" max="4342" width="6.85546875" style="142" customWidth="1"/>
    <col min="4343" max="4343" width="10.42578125" style="142" bestFit="1" customWidth="1"/>
    <col min="4344" max="4344" width="9.42578125" style="142" customWidth="1"/>
    <col min="4345" max="4345" width="8.85546875" style="142" customWidth="1"/>
    <col min="4346" max="4347" width="8.7109375" style="142" customWidth="1"/>
    <col min="4348" max="4348" width="9.5703125" style="142" customWidth="1"/>
    <col min="4349" max="4349" width="9" style="142" customWidth="1"/>
    <col min="4350" max="4350" width="10" style="142" customWidth="1"/>
    <col min="4351" max="4351" width="11" style="142" customWidth="1"/>
    <col min="4352" max="4354" width="9.140625" style="142" customWidth="1"/>
    <col min="4355" max="4361" width="2.140625" style="142" customWidth="1"/>
    <col min="4362" max="4595" width="9.140625" style="142"/>
    <col min="4596" max="4596" width="4.28515625" style="142" customWidth="1"/>
    <col min="4597" max="4597" width="42" style="142" customWidth="1"/>
    <col min="4598" max="4598" width="6.85546875" style="142" customWidth="1"/>
    <col min="4599" max="4599" width="10.42578125" style="142" bestFit="1" customWidth="1"/>
    <col min="4600" max="4600" width="9.42578125" style="142" customWidth="1"/>
    <col min="4601" max="4601" width="8.85546875" style="142" customWidth="1"/>
    <col min="4602" max="4603" width="8.7109375" style="142" customWidth="1"/>
    <col min="4604" max="4604" width="9.5703125" style="142" customWidth="1"/>
    <col min="4605" max="4605" width="9" style="142" customWidth="1"/>
    <col min="4606" max="4606" width="10" style="142" customWidth="1"/>
    <col min="4607" max="4607" width="11" style="142" customWidth="1"/>
    <col min="4608" max="4610" width="9.140625" style="142" customWidth="1"/>
    <col min="4611" max="4617" width="2.140625" style="142" customWidth="1"/>
    <col min="4618" max="4851" width="9.140625" style="142"/>
    <col min="4852" max="4852" width="4.28515625" style="142" customWidth="1"/>
    <col min="4853" max="4853" width="42" style="142" customWidth="1"/>
    <col min="4854" max="4854" width="6.85546875" style="142" customWidth="1"/>
    <col min="4855" max="4855" width="10.42578125" style="142" bestFit="1" customWidth="1"/>
    <col min="4856" max="4856" width="9.42578125" style="142" customWidth="1"/>
    <col min="4857" max="4857" width="8.85546875" style="142" customWidth="1"/>
    <col min="4858" max="4859" width="8.7109375" style="142" customWidth="1"/>
    <col min="4860" max="4860" width="9.5703125" style="142" customWidth="1"/>
    <col min="4861" max="4861" width="9" style="142" customWidth="1"/>
    <col min="4862" max="4862" width="10" style="142" customWidth="1"/>
    <col min="4863" max="4863" width="11" style="142" customWidth="1"/>
    <col min="4864" max="4866" width="9.140625" style="142" customWidth="1"/>
    <col min="4867" max="4873" width="2.140625" style="142" customWidth="1"/>
    <col min="4874" max="5107" width="9.140625" style="142"/>
    <col min="5108" max="5108" width="4.28515625" style="142" customWidth="1"/>
    <col min="5109" max="5109" width="42" style="142" customWidth="1"/>
    <col min="5110" max="5110" width="6.85546875" style="142" customWidth="1"/>
    <col min="5111" max="5111" width="10.42578125" style="142" bestFit="1" customWidth="1"/>
    <col min="5112" max="5112" width="9.42578125" style="142" customWidth="1"/>
    <col min="5113" max="5113" width="8.85546875" style="142" customWidth="1"/>
    <col min="5114" max="5115" width="8.7109375" style="142" customWidth="1"/>
    <col min="5116" max="5116" width="9.5703125" style="142" customWidth="1"/>
    <col min="5117" max="5117" width="9" style="142" customWidth="1"/>
    <col min="5118" max="5118" width="10" style="142" customWidth="1"/>
    <col min="5119" max="5119" width="11" style="142" customWidth="1"/>
    <col min="5120" max="5122" width="9.140625" style="142" customWidth="1"/>
    <col min="5123" max="5129" width="2.140625" style="142" customWidth="1"/>
    <col min="5130" max="5363" width="9.140625" style="142"/>
    <col min="5364" max="5364" width="4.28515625" style="142" customWidth="1"/>
    <col min="5365" max="5365" width="42" style="142" customWidth="1"/>
    <col min="5366" max="5366" width="6.85546875" style="142" customWidth="1"/>
    <col min="5367" max="5367" width="10.42578125" style="142" bestFit="1" customWidth="1"/>
    <col min="5368" max="5368" width="9.42578125" style="142" customWidth="1"/>
    <col min="5369" max="5369" width="8.85546875" style="142" customWidth="1"/>
    <col min="5370" max="5371" width="8.7109375" style="142" customWidth="1"/>
    <col min="5372" max="5372" width="9.5703125" style="142" customWidth="1"/>
    <col min="5373" max="5373" width="9" style="142" customWidth="1"/>
    <col min="5374" max="5374" width="10" style="142" customWidth="1"/>
    <col min="5375" max="5375" width="11" style="142" customWidth="1"/>
    <col min="5376" max="5378" width="9.140625" style="142" customWidth="1"/>
    <col min="5379" max="5385" width="2.140625" style="142" customWidth="1"/>
    <col min="5386" max="5619" width="9.140625" style="142"/>
    <col min="5620" max="5620" width="4.28515625" style="142" customWidth="1"/>
    <col min="5621" max="5621" width="42" style="142" customWidth="1"/>
    <col min="5622" max="5622" width="6.85546875" style="142" customWidth="1"/>
    <col min="5623" max="5623" width="10.42578125" style="142" bestFit="1" customWidth="1"/>
    <col min="5624" max="5624" width="9.42578125" style="142" customWidth="1"/>
    <col min="5625" max="5625" width="8.85546875" style="142" customWidth="1"/>
    <col min="5626" max="5627" width="8.7109375" style="142" customWidth="1"/>
    <col min="5628" max="5628" width="9.5703125" style="142" customWidth="1"/>
    <col min="5629" max="5629" width="9" style="142" customWidth="1"/>
    <col min="5630" max="5630" width="10" style="142" customWidth="1"/>
    <col min="5631" max="5631" width="11" style="142" customWidth="1"/>
    <col min="5632" max="5634" width="9.140625" style="142" customWidth="1"/>
    <col min="5635" max="5641" width="2.140625" style="142" customWidth="1"/>
    <col min="5642" max="5875" width="9.140625" style="142"/>
    <col min="5876" max="5876" width="4.28515625" style="142" customWidth="1"/>
    <col min="5877" max="5877" width="42" style="142" customWidth="1"/>
    <col min="5878" max="5878" width="6.85546875" style="142" customWidth="1"/>
    <col min="5879" max="5879" width="10.42578125" style="142" bestFit="1" customWidth="1"/>
    <col min="5880" max="5880" width="9.42578125" style="142" customWidth="1"/>
    <col min="5881" max="5881" width="8.85546875" style="142" customWidth="1"/>
    <col min="5882" max="5883" width="8.7109375" style="142" customWidth="1"/>
    <col min="5884" max="5884" width="9.5703125" style="142" customWidth="1"/>
    <col min="5885" max="5885" width="9" style="142" customWidth="1"/>
    <col min="5886" max="5886" width="10" style="142" customWidth="1"/>
    <col min="5887" max="5887" width="11" style="142" customWidth="1"/>
    <col min="5888" max="5890" width="9.140625" style="142" customWidth="1"/>
    <col min="5891" max="5897" width="2.140625" style="142" customWidth="1"/>
    <col min="5898" max="6131" width="9.140625" style="142"/>
    <col min="6132" max="6132" width="4.28515625" style="142" customWidth="1"/>
    <col min="6133" max="6133" width="42" style="142" customWidth="1"/>
    <col min="6134" max="6134" width="6.85546875" style="142" customWidth="1"/>
    <col min="6135" max="6135" width="10.42578125" style="142" bestFit="1" customWidth="1"/>
    <col min="6136" max="6136" width="9.42578125" style="142" customWidth="1"/>
    <col min="6137" max="6137" width="8.85546875" style="142" customWidth="1"/>
    <col min="6138" max="6139" width="8.7109375" style="142" customWidth="1"/>
    <col min="6140" max="6140" width="9.5703125" style="142" customWidth="1"/>
    <col min="6141" max="6141" width="9" style="142" customWidth="1"/>
    <col min="6142" max="6142" width="10" style="142" customWidth="1"/>
    <col min="6143" max="6143" width="11" style="142" customWidth="1"/>
    <col min="6144" max="6146" width="9.140625" style="142" customWidth="1"/>
    <col min="6147" max="6153" width="2.140625" style="142" customWidth="1"/>
    <col min="6154" max="6387" width="9.140625" style="142"/>
    <col min="6388" max="6388" width="4.28515625" style="142" customWidth="1"/>
    <col min="6389" max="6389" width="42" style="142" customWidth="1"/>
    <col min="6390" max="6390" width="6.85546875" style="142" customWidth="1"/>
    <col min="6391" max="6391" width="10.42578125" style="142" bestFit="1" customWidth="1"/>
    <col min="6392" max="6392" width="9.42578125" style="142" customWidth="1"/>
    <col min="6393" max="6393" width="8.85546875" style="142" customWidth="1"/>
    <col min="6394" max="6395" width="8.7109375" style="142" customWidth="1"/>
    <col min="6396" max="6396" width="9.5703125" style="142" customWidth="1"/>
    <col min="6397" max="6397" width="9" style="142" customWidth="1"/>
    <col min="6398" max="6398" width="10" style="142" customWidth="1"/>
    <col min="6399" max="6399" width="11" style="142" customWidth="1"/>
    <col min="6400" max="6402" width="9.140625" style="142" customWidth="1"/>
    <col min="6403" max="6409" width="2.140625" style="142" customWidth="1"/>
    <col min="6410" max="6643" width="9.140625" style="142"/>
    <col min="6644" max="6644" width="4.28515625" style="142" customWidth="1"/>
    <col min="6645" max="6645" width="42" style="142" customWidth="1"/>
    <col min="6646" max="6646" width="6.85546875" style="142" customWidth="1"/>
    <col min="6647" max="6647" width="10.42578125" style="142" bestFit="1" customWidth="1"/>
    <col min="6648" max="6648" width="9.42578125" style="142" customWidth="1"/>
    <col min="6649" max="6649" width="8.85546875" style="142" customWidth="1"/>
    <col min="6650" max="6651" width="8.7109375" style="142" customWidth="1"/>
    <col min="6652" max="6652" width="9.5703125" style="142" customWidth="1"/>
    <col min="6653" max="6653" width="9" style="142" customWidth="1"/>
    <col min="6654" max="6654" width="10" style="142" customWidth="1"/>
    <col min="6655" max="6655" width="11" style="142" customWidth="1"/>
    <col min="6656" max="6658" width="9.140625" style="142" customWidth="1"/>
    <col min="6659" max="6665" width="2.140625" style="142" customWidth="1"/>
    <col min="6666" max="6899" width="9.140625" style="142"/>
    <col min="6900" max="6900" width="4.28515625" style="142" customWidth="1"/>
    <col min="6901" max="6901" width="42" style="142" customWidth="1"/>
    <col min="6902" max="6902" width="6.85546875" style="142" customWidth="1"/>
    <col min="6903" max="6903" width="10.42578125" style="142" bestFit="1" customWidth="1"/>
    <col min="6904" max="6904" width="9.42578125" style="142" customWidth="1"/>
    <col min="6905" max="6905" width="8.85546875" style="142" customWidth="1"/>
    <col min="6906" max="6907" width="8.7109375" style="142" customWidth="1"/>
    <col min="6908" max="6908" width="9.5703125" style="142" customWidth="1"/>
    <col min="6909" max="6909" width="9" style="142" customWidth="1"/>
    <col min="6910" max="6910" width="10" style="142" customWidth="1"/>
    <col min="6911" max="6911" width="11" style="142" customWidth="1"/>
    <col min="6912" max="6914" width="9.140625" style="142" customWidth="1"/>
    <col min="6915" max="6921" width="2.140625" style="142" customWidth="1"/>
    <col min="6922" max="7155" width="9.140625" style="142"/>
    <col min="7156" max="7156" width="4.28515625" style="142" customWidth="1"/>
    <col min="7157" max="7157" width="42" style="142" customWidth="1"/>
    <col min="7158" max="7158" width="6.85546875" style="142" customWidth="1"/>
    <col min="7159" max="7159" width="10.42578125" style="142" bestFit="1" customWidth="1"/>
    <col min="7160" max="7160" width="9.42578125" style="142" customWidth="1"/>
    <col min="7161" max="7161" width="8.85546875" style="142" customWidth="1"/>
    <col min="7162" max="7163" width="8.7109375" style="142" customWidth="1"/>
    <col min="7164" max="7164" width="9.5703125" style="142" customWidth="1"/>
    <col min="7165" max="7165" width="9" style="142" customWidth="1"/>
    <col min="7166" max="7166" width="10" style="142" customWidth="1"/>
    <col min="7167" max="7167" width="11" style="142" customWidth="1"/>
    <col min="7168" max="7170" width="9.140625" style="142" customWidth="1"/>
    <col min="7171" max="7177" width="2.140625" style="142" customWidth="1"/>
    <col min="7178" max="7411" width="9.140625" style="142"/>
    <col min="7412" max="7412" width="4.28515625" style="142" customWidth="1"/>
    <col min="7413" max="7413" width="42" style="142" customWidth="1"/>
    <col min="7414" max="7414" width="6.85546875" style="142" customWidth="1"/>
    <col min="7415" max="7415" width="10.42578125" style="142" bestFit="1" customWidth="1"/>
    <col min="7416" max="7416" width="9.42578125" style="142" customWidth="1"/>
    <col min="7417" max="7417" width="8.85546875" style="142" customWidth="1"/>
    <col min="7418" max="7419" width="8.7109375" style="142" customWidth="1"/>
    <col min="7420" max="7420" width="9.5703125" style="142" customWidth="1"/>
    <col min="7421" max="7421" width="9" style="142" customWidth="1"/>
    <col min="7422" max="7422" width="10" style="142" customWidth="1"/>
    <col min="7423" max="7423" width="11" style="142" customWidth="1"/>
    <col min="7424" max="7426" width="9.140625" style="142" customWidth="1"/>
    <col min="7427" max="7433" width="2.140625" style="142" customWidth="1"/>
    <col min="7434" max="7667" width="9.140625" style="142"/>
    <col min="7668" max="7668" width="4.28515625" style="142" customWidth="1"/>
    <col min="7669" max="7669" width="42" style="142" customWidth="1"/>
    <col min="7670" max="7670" width="6.85546875" style="142" customWidth="1"/>
    <col min="7671" max="7671" width="10.42578125" style="142" bestFit="1" customWidth="1"/>
    <col min="7672" max="7672" width="9.42578125" style="142" customWidth="1"/>
    <col min="7673" max="7673" width="8.85546875" style="142" customWidth="1"/>
    <col min="7674" max="7675" width="8.7109375" style="142" customWidth="1"/>
    <col min="7676" max="7676" width="9.5703125" style="142" customWidth="1"/>
    <col min="7677" max="7677" width="9" style="142" customWidth="1"/>
    <col min="7678" max="7678" width="10" style="142" customWidth="1"/>
    <col min="7679" max="7679" width="11" style="142" customWidth="1"/>
    <col min="7680" max="7682" width="9.140625" style="142" customWidth="1"/>
    <col min="7683" max="7689" width="2.140625" style="142" customWidth="1"/>
    <col min="7690" max="7923" width="9.140625" style="142"/>
    <col min="7924" max="7924" width="4.28515625" style="142" customWidth="1"/>
    <col min="7925" max="7925" width="42" style="142" customWidth="1"/>
    <col min="7926" max="7926" width="6.85546875" style="142" customWidth="1"/>
    <col min="7927" max="7927" width="10.42578125" style="142" bestFit="1" customWidth="1"/>
    <col min="7928" max="7928" width="9.42578125" style="142" customWidth="1"/>
    <col min="7929" max="7929" width="8.85546875" style="142" customWidth="1"/>
    <col min="7930" max="7931" width="8.7109375" style="142" customWidth="1"/>
    <col min="7932" max="7932" width="9.5703125" style="142" customWidth="1"/>
    <col min="7933" max="7933" width="9" style="142" customWidth="1"/>
    <col min="7934" max="7934" width="10" style="142" customWidth="1"/>
    <col min="7935" max="7935" width="11" style="142" customWidth="1"/>
    <col min="7936" max="7938" width="9.140625" style="142" customWidth="1"/>
    <col min="7939" max="7945" width="2.140625" style="142" customWidth="1"/>
    <col min="7946" max="8179" width="9.140625" style="142"/>
    <col min="8180" max="8180" width="4.28515625" style="142" customWidth="1"/>
    <col min="8181" max="8181" width="42" style="142" customWidth="1"/>
    <col min="8182" max="8182" width="6.85546875" style="142" customWidth="1"/>
    <col min="8183" max="8183" width="10.42578125" style="142" bestFit="1" customWidth="1"/>
    <col min="8184" max="8184" width="9.42578125" style="142" customWidth="1"/>
    <col min="8185" max="8185" width="8.85546875" style="142" customWidth="1"/>
    <col min="8186" max="8187" width="8.7109375" style="142" customWidth="1"/>
    <col min="8188" max="8188" width="9.5703125" style="142" customWidth="1"/>
    <col min="8189" max="8189" width="9" style="142" customWidth="1"/>
    <col min="8190" max="8190" width="10" style="142" customWidth="1"/>
    <col min="8191" max="8191" width="11" style="142" customWidth="1"/>
    <col min="8192" max="8194" width="9.140625" style="142" customWidth="1"/>
    <col min="8195" max="8201" width="2.140625" style="142" customWidth="1"/>
    <col min="8202" max="8435" width="9.140625" style="142"/>
    <col min="8436" max="8436" width="4.28515625" style="142" customWidth="1"/>
    <col min="8437" max="8437" width="42" style="142" customWidth="1"/>
    <col min="8438" max="8438" width="6.85546875" style="142" customWidth="1"/>
    <col min="8439" max="8439" width="10.42578125" style="142" bestFit="1" customWidth="1"/>
    <col min="8440" max="8440" width="9.42578125" style="142" customWidth="1"/>
    <col min="8441" max="8441" width="8.85546875" style="142" customWidth="1"/>
    <col min="8442" max="8443" width="8.7109375" style="142" customWidth="1"/>
    <col min="8444" max="8444" width="9.5703125" style="142" customWidth="1"/>
    <col min="8445" max="8445" width="9" style="142" customWidth="1"/>
    <col min="8446" max="8446" width="10" style="142" customWidth="1"/>
    <col min="8447" max="8447" width="11" style="142" customWidth="1"/>
    <col min="8448" max="8450" width="9.140625" style="142" customWidth="1"/>
    <col min="8451" max="8457" width="2.140625" style="142" customWidth="1"/>
    <col min="8458" max="8691" width="9.140625" style="142"/>
    <col min="8692" max="8692" width="4.28515625" style="142" customWidth="1"/>
    <col min="8693" max="8693" width="42" style="142" customWidth="1"/>
    <col min="8694" max="8694" width="6.85546875" style="142" customWidth="1"/>
    <col min="8695" max="8695" width="10.42578125" style="142" bestFit="1" customWidth="1"/>
    <col min="8696" max="8696" width="9.42578125" style="142" customWidth="1"/>
    <col min="8697" max="8697" width="8.85546875" style="142" customWidth="1"/>
    <col min="8698" max="8699" width="8.7109375" style="142" customWidth="1"/>
    <col min="8700" max="8700" width="9.5703125" style="142" customWidth="1"/>
    <col min="8701" max="8701" width="9" style="142" customWidth="1"/>
    <col min="8702" max="8702" width="10" style="142" customWidth="1"/>
    <col min="8703" max="8703" width="11" style="142" customWidth="1"/>
    <col min="8704" max="8706" width="9.140625" style="142" customWidth="1"/>
    <col min="8707" max="8713" width="2.140625" style="142" customWidth="1"/>
    <col min="8714" max="8947" width="9.140625" style="142"/>
    <col min="8948" max="8948" width="4.28515625" style="142" customWidth="1"/>
    <col min="8949" max="8949" width="42" style="142" customWidth="1"/>
    <col min="8950" max="8950" width="6.85546875" style="142" customWidth="1"/>
    <col min="8951" max="8951" width="10.42578125" style="142" bestFit="1" customWidth="1"/>
    <col min="8952" max="8952" width="9.42578125" style="142" customWidth="1"/>
    <col min="8953" max="8953" width="8.85546875" style="142" customWidth="1"/>
    <col min="8954" max="8955" width="8.7109375" style="142" customWidth="1"/>
    <col min="8956" max="8956" width="9.5703125" style="142" customWidth="1"/>
    <col min="8957" max="8957" width="9" style="142" customWidth="1"/>
    <col min="8958" max="8958" width="10" style="142" customWidth="1"/>
    <col min="8959" max="8959" width="11" style="142" customWidth="1"/>
    <col min="8960" max="8962" width="9.140625" style="142" customWidth="1"/>
    <col min="8963" max="8969" width="2.140625" style="142" customWidth="1"/>
    <col min="8970" max="9203" width="9.140625" style="142"/>
    <col min="9204" max="9204" width="4.28515625" style="142" customWidth="1"/>
    <col min="9205" max="9205" width="42" style="142" customWidth="1"/>
    <col min="9206" max="9206" width="6.85546875" style="142" customWidth="1"/>
    <col min="9207" max="9207" width="10.42578125" style="142" bestFit="1" customWidth="1"/>
    <col min="9208" max="9208" width="9.42578125" style="142" customWidth="1"/>
    <col min="9209" max="9209" width="8.85546875" style="142" customWidth="1"/>
    <col min="9210" max="9211" width="8.7109375" style="142" customWidth="1"/>
    <col min="9212" max="9212" width="9.5703125" style="142" customWidth="1"/>
    <col min="9213" max="9213" width="9" style="142" customWidth="1"/>
    <col min="9214" max="9214" width="10" style="142" customWidth="1"/>
    <col min="9215" max="9215" width="11" style="142" customWidth="1"/>
    <col min="9216" max="9218" width="9.140625" style="142" customWidth="1"/>
    <col min="9219" max="9225" width="2.140625" style="142" customWidth="1"/>
    <col min="9226" max="9459" width="9.140625" style="142"/>
    <col min="9460" max="9460" width="4.28515625" style="142" customWidth="1"/>
    <col min="9461" max="9461" width="42" style="142" customWidth="1"/>
    <col min="9462" max="9462" width="6.85546875" style="142" customWidth="1"/>
    <col min="9463" max="9463" width="10.42578125" style="142" bestFit="1" customWidth="1"/>
    <col min="9464" max="9464" width="9.42578125" style="142" customWidth="1"/>
    <col min="9465" max="9465" width="8.85546875" style="142" customWidth="1"/>
    <col min="9466" max="9467" width="8.7109375" style="142" customWidth="1"/>
    <col min="9468" max="9468" width="9.5703125" style="142" customWidth="1"/>
    <col min="9469" max="9469" width="9" style="142" customWidth="1"/>
    <col min="9470" max="9470" width="10" style="142" customWidth="1"/>
    <col min="9471" max="9471" width="11" style="142" customWidth="1"/>
    <col min="9472" max="9474" width="9.140625" style="142" customWidth="1"/>
    <col min="9475" max="9481" width="2.140625" style="142" customWidth="1"/>
    <col min="9482" max="9715" width="9.140625" style="142"/>
    <col min="9716" max="9716" width="4.28515625" style="142" customWidth="1"/>
    <col min="9717" max="9717" width="42" style="142" customWidth="1"/>
    <col min="9718" max="9718" width="6.85546875" style="142" customWidth="1"/>
    <col min="9719" max="9719" width="10.42578125" style="142" bestFit="1" customWidth="1"/>
    <col min="9720" max="9720" width="9.42578125" style="142" customWidth="1"/>
    <col min="9721" max="9721" width="8.85546875" style="142" customWidth="1"/>
    <col min="9722" max="9723" width="8.7109375" style="142" customWidth="1"/>
    <col min="9724" max="9724" width="9.5703125" style="142" customWidth="1"/>
    <col min="9725" max="9725" width="9" style="142" customWidth="1"/>
    <col min="9726" max="9726" width="10" style="142" customWidth="1"/>
    <col min="9727" max="9727" width="11" style="142" customWidth="1"/>
    <col min="9728" max="9730" width="9.140625" style="142" customWidth="1"/>
    <col min="9731" max="9737" width="2.140625" style="142" customWidth="1"/>
    <col min="9738" max="9971" width="9.140625" style="142"/>
    <col min="9972" max="9972" width="4.28515625" style="142" customWidth="1"/>
    <col min="9973" max="9973" width="42" style="142" customWidth="1"/>
    <col min="9974" max="9974" width="6.85546875" style="142" customWidth="1"/>
    <col min="9975" max="9975" width="10.42578125" style="142" bestFit="1" customWidth="1"/>
    <col min="9976" max="9976" width="9.42578125" style="142" customWidth="1"/>
    <col min="9977" max="9977" width="8.85546875" style="142" customWidth="1"/>
    <col min="9978" max="9979" width="8.7109375" style="142" customWidth="1"/>
    <col min="9980" max="9980" width="9.5703125" style="142" customWidth="1"/>
    <col min="9981" max="9981" width="9" style="142" customWidth="1"/>
    <col min="9982" max="9982" width="10" style="142" customWidth="1"/>
    <col min="9983" max="9983" width="11" style="142" customWidth="1"/>
    <col min="9984" max="9986" width="9.140625" style="142" customWidth="1"/>
    <col min="9987" max="9993" width="2.140625" style="142" customWidth="1"/>
    <col min="9994" max="10227" width="9.140625" style="142"/>
    <col min="10228" max="10228" width="4.28515625" style="142" customWidth="1"/>
    <col min="10229" max="10229" width="42" style="142" customWidth="1"/>
    <col min="10230" max="10230" width="6.85546875" style="142" customWidth="1"/>
    <col min="10231" max="10231" width="10.42578125" style="142" bestFit="1" customWidth="1"/>
    <col min="10232" max="10232" width="9.42578125" style="142" customWidth="1"/>
    <col min="10233" max="10233" width="8.85546875" style="142" customWidth="1"/>
    <col min="10234" max="10235" width="8.7109375" style="142" customWidth="1"/>
    <col min="10236" max="10236" width="9.5703125" style="142" customWidth="1"/>
    <col min="10237" max="10237" width="9" style="142" customWidth="1"/>
    <col min="10238" max="10238" width="10" style="142" customWidth="1"/>
    <col min="10239" max="10239" width="11" style="142" customWidth="1"/>
    <col min="10240" max="10242" width="9.140625" style="142" customWidth="1"/>
    <col min="10243" max="10249" width="2.140625" style="142" customWidth="1"/>
    <col min="10250" max="10483" width="9.140625" style="142"/>
    <col min="10484" max="10484" width="4.28515625" style="142" customWidth="1"/>
    <col min="10485" max="10485" width="42" style="142" customWidth="1"/>
    <col min="10486" max="10486" width="6.85546875" style="142" customWidth="1"/>
    <col min="10487" max="10487" width="10.42578125" style="142" bestFit="1" customWidth="1"/>
    <col min="10488" max="10488" width="9.42578125" style="142" customWidth="1"/>
    <col min="10489" max="10489" width="8.85546875" style="142" customWidth="1"/>
    <col min="10490" max="10491" width="8.7109375" style="142" customWidth="1"/>
    <col min="10492" max="10492" width="9.5703125" style="142" customWidth="1"/>
    <col min="10493" max="10493" width="9" style="142" customWidth="1"/>
    <col min="10494" max="10494" width="10" style="142" customWidth="1"/>
    <col min="10495" max="10495" width="11" style="142" customWidth="1"/>
    <col min="10496" max="10498" width="9.140625" style="142" customWidth="1"/>
    <col min="10499" max="10505" width="2.140625" style="142" customWidth="1"/>
    <col min="10506" max="10739" width="9.140625" style="142"/>
    <col min="10740" max="10740" width="4.28515625" style="142" customWidth="1"/>
    <col min="10741" max="10741" width="42" style="142" customWidth="1"/>
    <col min="10742" max="10742" width="6.85546875" style="142" customWidth="1"/>
    <col min="10743" max="10743" width="10.42578125" style="142" bestFit="1" customWidth="1"/>
    <col min="10744" max="10744" width="9.42578125" style="142" customWidth="1"/>
    <col min="10745" max="10745" width="8.85546875" style="142" customWidth="1"/>
    <col min="10746" max="10747" width="8.7109375" style="142" customWidth="1"/>
    <col min="10748" max="10748" width="9.5703125" style="142" customWidth="1"/>
    <col min="10749" max="10749" width="9" style="142" customWidth="1"/>
    <col min="10750" max="10750" width="10" style="142" customWidth="1"/>
    <col min="10751" max="10751" width="11" style="142" customWidth="1"/>
    <col min="10752" max="10754" width="9.140625" style="142" customWidth="1"/>
    <col min="10755" max="10761" width="2.140625" style="142" customWidth="1"/>
    <col min="10762" max="10995" width="9.140625" style="142"/>
    <col min="10996" max="10996" width="4.28515625" style="142" customWidth="1"/>
    <col min="10997" max="10997" width="42" style="142" customWidth="1"/>
    <col min="10998" max="10998" width="6.85546875" style="142" customWidth="1"/>
    <col min="10999" max="10999" width="10.42578125" style="142" bestFit="1" customWidth="1"/>
    <col min="11000" max="11000" width="9.42578125" style="142" customWidth="1"/>
    <col min="11001" max="11001" width="8.85546875" style="142" customWidth="1"/>
    <col min="11002" max="11003" width="8.7109375" style="142" customWidth="1"/>
    <col min="11004" max="11004" width="9.5703125" style="142" customWidth="1"/>
    <col min="11005" max="11005" width="9" style="142" customWidth="1"/>
    <col min="11006" max="11006" width="10" style="142" customWidth="1"/>
    <col min="11007" max="11007" width="11" style="142" customWidth="1"/>
    <col min="11008" max="11010" width="9.140625" style="142" customWidth="1"/>
    <col min="11011" max="11017" width="2.140625" style="142" customWidth="1"/>
    <col min="11018" max="11251" width="9.140625" style="142"/>
    <col min="11252" max="11252" width="4.28515625" style="142" customWidth="1"/>
    <col min="11253" max="11253" width="42" style="142" customWidth="1"/>
    <col min="11254" max="11254" width="6.85546875" style="142" customWidth="1"/>
    <col min="11255" max="11255" width="10.42578125" style="142" bestFit="1" customWidth="1"/>
    <col min="11256" max="11256" width="9.42578125" style="142" customWidth="1"/>
    <col min="11257" max="11257" width="8.85546875" style="142" customWidth="1"/>
    <col min="11258" max="11259" width="8.7109375" style="142" customWidth="1"/>
    <col min="11260" max="11260" width="9.5703125" style="142" customWidth="1"/>
    <col min="11261" max="11261" width="9" style="142" customWidth="1"/>
    <col min="11262" max="11262" width="10" style="142" customWidth="1"/>
    <col min="11263" max="11263" width="11" style="142" customWidth="1"/>
    <col min="11264" max="11266" width="9.140625" style="142" customWidth="1"/>
    <col min="11267" max="11273" width="2.140625" style="142" customWidth="1"/>
    <col min="11274" max="11507" width="9.140625" style="142"/>
    <col min="11508" max="11508" width="4.28515625" style="142" customWidth="1"/>
    <col min="11509" max="11509" width="42" style="142" customWidth="1"/>
    <col min="11510" max="11510" width="6.85546875" style="142" customWidth="1"/>
    <col min="11511" max="11511" width="10.42578125" style="142" bestFit="1" customWidth="1"/>
    <col min="11512" max="11512" width="9.42578125" style="142" customWidth="1"/>
    <col min="11513" max="11513" width="8.85546875" style="142" customWidth="1"/>
    <col min="11514" max="11515" width="8.7109375" style="142" customWidth="1"/>
    <col min="11516" max="11516" width="9.5703125" style="142" customWidth="1"/>
    <col min="11517" max="11517" width="9" style="142" customWidth="1"/>
    <col min="11518" max="11518" width="10" style="142" customWidth="1"/>
    <col min="11519" max="11519" width="11" style="142" customWidth="1"/>
    <col min="11520" max="11522" width="9.140625" style="142" customWidth="1"/>
    <col min="11523" max="11529" width="2.140625" style="142" customWidth="1"/>
    <col min="11530" max="11763" width="9.140625" style="142"/>
    <col min="11764" max="11764" width="4.28515625" style="142" customWidth="1"/>
    <col min="11765" max="11765" width="42" style="142" customWidth="1"/>
    <col min="11766" max="11766" width="6.85546875" style="142" customWidth="1"/>
    <col min="11767" max="11767" width="10.42578125" style="142" bestFit="1" customWidth="1"/>
    <col min="11768" max="11768" width="9.42578125" style="142" customWidth="1"/>
    <col min="11769" max="11769" width="8.85546875" style="142" customWidth="1"/>
    <col min="11770" max="11771" width="8.7109375" style="142" customWidth="1"/>
    <col min="11772" max="11772" width="9.5703125" style="142" customWidth="1"/>
    <col min="11773" max="11773" width="9" style="142" customWidth="1"/>
    <col min="11774" max="11774" width="10" style="142" customWidth="1"/>
    <col min="11775" max="11775" width="11" style="142" customWidth="1"/>
    <col min="11776" max="11778" width="9.140625" style="142" customWidth="1"/>
    <col min="11779" max="11785" width="2.140625" style="142" customWidth="1"/>
    <col min="11786" max="12019" width="9.140625" style="142"/>
    <col min="12020" max="12020" width="4.28515625" style="142" customWidth="1"/>
    <col min="12021" max="12021" width="42" style="142" customWidth="1"/>
    <col min="12022" max="12022" width="6.85546875" style="142" customWidth="1"/>
    <col min="12023" max="12023" width="10.42578125" style="142" bestFit="1" customWidth="1"/>
    <col min="12024" max="12024" width="9.42578125" style="142" customWidth="1"/>
    <col min="12025" max="12025" width="8.85546875" style="142" customWidth="1"/>
    <col min="12026" max="12027" width="8.7109375" style="142" customWidth="1"/>
    <col min="12028" max="12028" width="9.5703125" style="142" customWidth="1"/>
    <col min="12029" max="12029" width="9" style="142" customWidth="1"/>
    <col min="12030" max="12030" width="10" style="142" customWidth="1"/>
    <col min="12031" max="12031" width="11" style="142" customWidth="1"/>
    <col min="12032" max="12034" width="9.140625" style="142" customWidth="1"/>
    <col min="12035" max="12041" width="2.140625" style="142" customWidth="1"/>
    <col min="12042" max="12275" width="9.140625" style="142"/>
    <col min="12276" max="12276" width="4.28515625" style="142" customWidth="1"/>
    <col min="12277" max="12277" width="42" style="142" customWidth="1"/>
    <col min="12278" max="12278" width="6.85546875" style="142" customWidth="1"/>
    <col min="12279" max="12279" width="10.42578125" style="142" bestFit="1" customWidth="1"/>
    <col min="12280" max="12280" width="9.42578125" style="142" customWidth="1"/>
    <col min="12281" max="12281" width="8.85546875" style="142" customWidth="1"/>
    <col min="12282" max="12283" width="8.7109375" style="142" customWidth="1"/>
    <col min="12284" max="12284" width="9.5703125" style="142" customWidth="1"/>
    <col min="12285" max="12285" width="9" style="142" customWidth="1"/>
    <col min="12286" max="12286" width="10" style="142" customWidth="1"/>
    <col min="12287" max="12287" width="11" style="142" customWidth="1"/>
    <col min="12288" max="12290" width="9.140625" style="142" customWidth="1"/>
    <col min="12291" max="12297" width="2.140625" style="142" customWidth="1"/>
    <col min="12298" max="12531" width="9.140625" style="142"/>
    <col min="12532" max="12532" width="4.28515625" style="142" customWidth="1"/>
    <col min="12533" max="12533" width="42" style="142" customWidth="1"/>
    <col min="12534" max="12534" width="6.85546875" style="142" customWidth="1"/>
    <col min="12535" max="12535" width="10.42578125" style="142" bestFit="1" customWidth="1"/>
    <col min="12536" max="12536" width="9.42578125" style="142" customWidth="1"/>
    <col min="12537" max="12537" width="8.85546875" style="142" customWidth="1"/>
    <col min="12538" max="12539" width="8.7109375" style="142" customWidth="1"/>
    <col min="12540" max="12540" width="9.5703125" style="142" customWidth="1"/>
    <col min="12541" max="12541" width="9" style="142" customWidth="1"/>
    <col min="12542" max="12542" width="10" style="142" customWidth="1"/>
    <col min="12543" max="12543" width="11" style="142" customWidth="1"/>
    <col min="12544" max="12546" width="9.140625" style="142" customWidth="1"/>
    <col min="12547" max="12553" width="2.140625" style="142" customWidth="1"/>
    <col min="12554" max="12787" width="9.140625" style="142"/>
    <col min="12788" max="12788" width="4.28515625" style="142" customWidth="1"/>
    <col min="12789" max="12789" width="42" style="142" customWidth="1"/>
    <col min="12790" max="12790" width="6.85546875" style="142" customWidth="1"/>
    <col min="12791" max="12791" width="10.42578125" style="142" bestFit="1" customWidth="1"/>
    <col min="12792" max="12792" width="9.42578125" style="142" customWidth="1"/>
    <col min="12793" max="12793" width="8.85546875" style="142" customWidth="1"/>
    <col min="12794" max="12795" width="8.7109375" style="142" customWidth="1"/>
    <col min="12796" max="12796" width="9.5703125" style="142" customWidth="1"/>
    <col min="12797" max="12797" width="9" style="142" customWidth="1"/>
    <col min="12798" max="12798" width="10" style="142" customWidth="1"/>
    <col min="12799" max="12799" width="11" style="142" customWidth="1"/>
    <col min="12800" max="12802" width="9.140625" style="142" customWidth="1"/>
    <col min="12803" max="12809" width="2.140625" style="142" customWidth="1"/>
    <col min="12810" max="13043" width="9.140625" style="142"/>
    <col min="13044" max="13044" width="4.28515625" style="142" customWidth="1"/>
    <col min="13045" max="13045" width="42" style="142" customWidth="1"/>
    <col min="13046" max="13046" width="6.85546875" style="142" customWidth="1"/>
    <col min="13047" max="13047" width="10.42578125" style="142" bestFit="1" customWidth="1"/>
    <col min="13048" max="13048" width="9.42578125" style="142" customWidth="1"/>
    <col min="13049" max="13049" width="8.85546875" style="142" customWidth="1"/>
    <col min="13050" max="13051" width="8.7109375" style="142" customWidth="1"/>
    <col min="13052" max="13052" width="9.5703125" style="142" customWidth="1"/>
    <col min="13053" max="13053" width="9" style="142" customWidth="1"/>
    <col min="13054" max="13054" width="10" style="142" customWidth="1"/>
    <col min="13055" max="13055" width="11" style="142" customWidth="1"/>
    <col min="13056" max="13058" width="9.140625" style="142" customWidth="1"/>
    <col min="13059" max="13065" width="2.140625" style="142" customWidth="1"/>
    <col min="13066" max="13299" width="9.140625" style="142"/>
    <col min="13300" max="13300" width="4.28515625" style="142" customWidth="1"/>
    <col min="13301" max="13301" width="42" style="142" customWidth="1"/>
    <col min="13302" max="13302" width="6.85546875" style="142" customWidth="1"/>
    <col min="13303" max="13303" width="10.42578125" style="142" bestFit="1" customWidth="1"/>
    <col min="13304" max="13304" width="9.42578125" style="142" customWidth="1"/>
    <col min="13305" max="13305" width="8.85546875" style="142" customWidth="1"/>
    <col min="13306" max="13307" width="8.7109375" style="142" customWidth="1"/>
    <col min="13308" max="13308" width="9.5703125" style="142" customWidth="1"/>
    <col min="13309" max="13309" width="9" style="142" customWidth="1"/>
    <col min="13310" max="13310" width="10" style="142" customWidth="1"/>
    <col min="13311" max="13311" width="11" style="142" customWidth="1"/>
    <col min="13312" max="13314" width="9.140625" style="142" customWidth="1"/>
    <col min="13315" max="13321" width="2.140625" style="142" customWidth="1"/>
    <col min="13322" max="13555" width="9.140625" style="142"/>
    <col min="13556" max="13556" width="4.28515625" style="142" customWidth="1"/>
    <col min="13557" max="13557" width="42" style="142" customWidth="1"/>
    <col min="13558" max="13558" width="6.85546875" style="142" customWidth="1"/>
    <col min="13559" max="13559" width="10.42578125" style="142" bestFit="1" customWidth="1"/>
    <col min="13560" max="13560" width="9.42578125" style="142" customWidth="1"/>
    <col min="13561" max="13561" width="8.85546875" style="142" customWidth="1"/>
    <col min="13562" max="13563" width="8.7109375" style="142" customWidth="1"/>
    <col min="13564" max="13564" width="9.5703125" style="142" customWidth="1"/>
    <col min="13565" max="13565" width="9" style="142" customWidth="1"/>
    <col min="13566" max="13566" width="10" style="142" customWidth="1"/>
    <col min="13567" max="13567" width="11" style="142" customWidth="1"/>
    <col min="13568" max="13570" width="9.140625" style="142" customWidth="1"/>
    <col min="13571" max="13577" width="2.140625" style="142" customWidth="1"/>
    <col min="13578" max="13811" width="9.140625" style="142"/>
    <col min="13812" max="13812" width="4.28515625" style="142" customWidth="1"/>
    <col min="13813" max="13813" width="42" style="142" customWidth="1"/>
    <col min="13814" max="13814" width="6.85546875" style="142" customWidth="1"/>
    <col min="13815" max="13815" width="10.42578125" style="142" bestFit="1" customWidth="1"/>
    <col min="13816" max="13816" width="9.42578125" style="142" customWidth="1"/>
    <col min="13817" max="13817" width="8.85546875" style="142" customWidth="1"/>
    <col min="13818" max="13819" width="8.7109375" style="142" customWidth="1"/>
    <col min="13820" max="13820" width="9.5703125" style="142" customWidth="1"/>
    <col min="13821" max="13821" width="9" style="142" customWidth="1"/>
    <col min="13822" max="13822" width="10" style="142" customWidth="1"/>
    <col min="13823" max="13823" width="11" style="142" customWidth="1"/>
    <col min="13824" max="13826" width="9.140625" style="142" customWidth="1"/>
    <col min="13827" max="13833" width="2.140625" style="142" customWidth="1"/>
    <col min="13834" max="14067" width="9.140625" style="142"/>
    <col min="14068" max="14068" width="4.28515625" style="142" customWidth="1"/>
    <col min="14069" max="14069" width="42" style="142" customWidth="1"/>
    <col min="14070" max="14070" width="6.85546875" style="142" customWidth="1"/>
    <col min="14071" max="14071" width="10.42578125" style="142" bestFit="1" customWidth="1"/>
    <col min="14072" max="14072" width="9.42578125" style="142" customWidth="1"/>
    <col min="14073" max="14073" width="8.85546875" style="142" customWidth="1"/>
    <col min="14074" max="14075" width="8.7109375" style="142" customWidth="1"/>
    <col min="14076" max="14076" width="9.5703125" style="142" customWidth="1"/>
    <col min="14077" max="14077" width="9" style="142" customWidth="1"/>
    <col min="14078" max="14078" width="10" style="142" customWidth="1"/>
    <col min="14079" max="14079" width="11" style="142" customWidth="1"/>
    <col min="14080" max="14082" width="9.140625" style="142" customWidth="1"/>
    <col min="14083" max="14089" width="2.140625" style="142" customWidth="1"/>
    <col min="14090" max="14323" width="9.140625" style="142"/>
    <col min="14324" max="14324" width="4.28515625" style="142" customWidth="1"/>
    <col min="14325" max="14325" width="42" style="142" customWidth="1"/>
    <col min="14326" max="14326" width="6.85546875" style="142" customWidth="1"/>
    <col min="14327" max="14327" width="10.42578125" style="142" bestFit="1" customWidth="1"/>
    <col min="14328" max="14328" width="9.42578125" style="142" customWidth="1"/>
    <col min="14329" max="14329" width="8.85546875" style="142" customWidth="1"/>
    <col min="14330" max="14331" width="8.7109375" style="142" customWidth="1"/>
    <col min="14332" max="14332" width="9.5703125" style="142" customWidth="1"/>
    <col min="14333" max="14333" width="9" style="142" customWidth="1"/>
    <col min="14334" max="14334" width="10" style="142" customWidth="1"/>
    <col min="14335" max="14335" width="11" style="142" customWidth="1"/>
    <col min="14336" max="14338" width="9.140625" style="142" customWidth="1"/>
    <col min="14339" max="14345" width="2.140625" style="142" customWidth="1"/>
    <col min="14346" max="14579" width="9.140625" style="142"/>
    <col min="14580" max="14580" width="4.28515625" style="142" customWidth="1"/>
    <col min="14581" max="14581" width="42" style="142" customWidth="1"/>
    <col min="14582" max="14582" width="6.85546875" style="142" customWidth="1"/>
    <col min="14583" max="14583" width="10.42578125" style="142" bestFit="1" customWidth="1"/>
    <col min="14584" max="14584" width="9.42578125" style="142" customWidth="1"/>
    <col min="14585" max="14585" width="8.85546875" style="142" customWidth="1"/>
    <col min="14586" max="14587" width="8.7109375" style="142" customWidth="1"/>
    <col min="14588" max="14588" width="9.5703125" style="142" customWidth="1"/>
    <col min="14589" max="14589" width="9" style="142" customWidth="1"/>
    <col min="14590" max="14590" width="10" style="142" customWidth="1"/>
    <col min="14591" max="14591" width="11" style="142" customWidth="1"/>
    <col min="14592" max="14594" width="9.140625" style="142" customWidth="1"/>
    <col min="14595" max="14601" width="2.140625" style="142" customWidth="1"/>
    <col min="14602" max="14835" width="9.140625" style="142"/>
    <col min="14836" max="14836" width="4.28515625" style="142" customWidth="1"/>
    <col min="14837" max="14837" width="42" style="142" customWidth="1"/>
    <col min="14838" max="14838" width="6.85546875" style="142" customWidth="1"/>
    <col min="14839" max="14839" width="10.42578125" style="142" bestFit="1" customWidth="1"/>
    <col min="14840" max="14840" width="9.42578125" style="142" customWidth="1"/>
    <col min="14841" max="14841" width="8.85546875" style="142" customWidth="1"/>
    <col min="14842" max="14843" width="8.7109375" style="142" customWidth="1"/>
    <col min="14844" max="14844" width="9.5703125" style="142" customWidth="1"/>
    <col min="14845" max="14845" width="9" style="142" customWidth="1"/>
    <col min="14846" max="14846" width="10" style="142" customWidth="1"/>
    <col min="14847" max="14847" width="11" style="142" customWidth="1"/>
    <col min="14848" max="14850" width="9.140625" style="142" customWidth="1"/>
    <col min="14851" max="14857" width="2.140625" style="142" customWidth="1"/>
    <col min="14858" max="15091" width="9.140625" style="142"/>
    <col min="15092" max="15092" width="4.28515625" style="142" customWidth="1"/>
    <col min="15093" max="15093" width="42" style="142" customWidth="1"/>
    <col min="15094" max="15094" width="6.85546875" style="142" customWidth="1"/>
    <col min="15095" max="15095" width="10.42578125" style="142" bestFit="1" customWidth="1"/>
    <col min="15096" max="15096" width="9.42578125" style="142" customWidth="1"/>
    <col min="15097" max="15097" width="8.85546875" style="142" customWidth="1"/>
    <col min="15098" max="15099" width="8.7109375" style="142" customWidth="1"/>
    <col min="15100" max="15100" width="9.5703125" style="142" customWidth="1"/>
    <col min="15101" max="15101" width="9" style="142" customWidth="1"/>
    <col min="15102" max="15102" width="10" style="142" customWidth="1"/>
    <col min="15103" max="15103" width="11" style="142" customWidth="1"/>
    <col min="15104" max="15106" width="9.140625" style="142" customWidth="1"/>
    <col min="15107" max="15113" width="2.140625" style="142" customWidth="1"/>
    <col min="15114" max="15347" width="9.140625" style="142"/>
    <col min="15348" max="15348" width="4.28515625" style="142" customWidth="1"/>
    <col min="15349" max="15349" width="42" style="142" customWidth="1"/>
    <col min="15350" max="15350" width="6.85546875" style="142" customWidth="1"/>
    <col min="15351" max="15351" width="10.42578125" style="142" bestFit="1" customWidth="1"/>
    <col min="15352" max="15352" width="9.42578125" style="142" customWidth="1"/>
    <col min="15353" max="15353" width="8.85546875" style="142" customWidth="1"/>
    <col min="15354" max="15355" width="8.7109375" style="142" customWidth="1"/>
    <col min="15356" max="15356" width="9.5703125" style="142" customWidth="1"/>
    <col min="15357" max="15357" width="9" style="142" customWidth="1"/>
    <col min="15358" max="15358" width="10" style="142" customWidth="1"/>
    <col min="15359" max="15359" width="11" style="142" customWidth="1"/>
    <col min="15360" max="15362" width="9.140625" style="142" customWidth="1"/>
    <col min="15363" max="15369" width="2.140625" style="142" customWidth="1"/>
    <col min="15370" max="15603" width="9.140625" style="142"/>
    <col min="15604" max="15604" width="4.28515625" style="142" customWidth="1"/>
    <col min="15605" max="15605" width="42" style="142" customWidth="1"/>
    <col min="15606" max="15606" width="6.85546875" style="142" customWidth="1"/>
    <col min="15607" max="15607" width="10.42578125" style="142" bestFit="1" customWidth="1"/>
    <col min="15608" max="15608" width="9.42578125" style="142" customWidth="1"/>
    <col min="15609" max="15609" width="8.85546875" style="142" customWidth="1"/>
    <col min="15610" max="15611" width="8.7109375" style="142" customWidth="1"/>
    <col min="15612" max="15612" width="9.5703125" style="142" customWidth="1"/>
    <col min="15613" max="15613" width="9" style="142" customWidth="1"/>
    <col min="15614" max="15614" width="10" style="142" customWidth="1"/>
    <col min="15615" max="15615" width="11" style="142" customWidth="1"/>
    <col min="15616" max="15618" width="9.140625" style="142" customWidth="1"/>
    <col min="15619" max="15625" width="2.140625" style="142" customWidth="1"/>
    <col min="15626" max="15859" width="9.140625" style="142"/>
    <col min="15860" max="15860" width="4.28515625" style="142" customWidth="1"/>
    <col min="15861" max="15861" width="42" style="142" customWidth="1"/>
    <col min="15862" max="15862" width="6.85546875" style="142" customWidth="1"/>
    <col min="15863" max="15863" width="10.42578125" style="142" bestFit="1" customWidth="1"/>
    <col min="15864" max="15864" width="9.42578125" style="142" customWidth="1"/>
    <col min="15865" max="15865" width="8.85546875" style="142" customWidth="1"/>
    <col min="15866" max="15867" width="8.7109375" style="142" customWidth="1"/>
    <col min="15868" max="15868" width="9.5703125" style="142" customWidth="1"/>
    <col min="15869" max="15869" width="9" style="142" customWidth="1"/>
    <col min="15870" max="15870" width="10" style="142" customWidth="1"/>
    <col min="15871" max="15871" width="11" style="142" customWidth="1"/>
    <col min="15872" max="15874" width="9.140625" style="142" customWidth="1"/>
    <col min="15875" max="15881" width="2.140625" style="142" customWidth="1"/>
    <col min="15882" max="16115" width="9.140625" style="142"/>
    <col min="16116" max="16116" width="4.28515625" style="142" customWidth="1"/>
    <col min="16117" max="16117" width="42" style="142" customWidth="1"/>
    <col min="16118" max="16118" width="6.85546875" style="142" customWidth="1"/>
    <col min="16119" max="16119" width="10.42578125" style="142" bestFit="1" customWidth="1"/>
    <col min="16120" max="16120" width="9.42578125" style="142" customWidth="1"/>
    <col min="16121" max="16121" width="8.85546875" style="142" customWidth="1"/>
    <col min="16122" max="16123" width="8.7109375" style="142" customWidth="1"/>
    <col min="16124" max="16124" width="9.5703125" style="142" customWidth="1"/>
    <col min="16125" max="16125" width="9" style="142" customWidth="1"/>
    <col min="16126" max="16126" width="10" style="142" customWidth="1"/>
    <col min="16127" max="16127" width="11" style="142" customWidth="1"/>
    <col min="16128" max="16130" width="9.140625" style="142" customWidth="1"/>
    <col min="16131" max="16137" width="2.140625" style="142" customWidth="1"/>
    <col min="16138" max="16384" width="9.140625" style="142"/>
  </cols>
  <sheetData>
    <row r="1" spans="1:16">
      <c r="A1" s="396" t="s">
        <v>337</v>
      </c>
      <c r="B1" s="396"/>
      <c r="C1" s="396"/>
      <c r="D1" s="396"/>
      <c r="E1" s="396"/>
      <c r="F1" s="396"/>
      <c r="G1" s="396"/>
      <c r="H1" s="396"/>
      <c r="I1" s="396"/>
      <c r="J1" s="396"/>
      <c r="K1" s="396"/>
      <c r="L1" s="396"/>
      <c r="M1" s="396"/>
      <c r="N1" s="396"/>
      <c r="O1" s="396"/>
    </row>
    <row r="2" spans="1:16">
      <c r="A2" s="397" t="str">
        <f>Kopsavilkums!C27</f>
        <v>Apdares darbi</v>
      </c>
      <c r="B2" s="397"/>
      <c r="C2" s="397"/>
      <c r="D2" s="397"/>
      <c r="E2" s="397"/>
      <c r="F2" s="397"/>
      <c r="G2" s="397"/>
      <c r="H2" s="397"/>
      <c r="I2" s="397"/>
      <c r="J2" s="397"/>
      <c r="K2" s="397"/>
      <c r="L2" s="397"/>
      <c r="M2" s="397"/>
      <c r="N2" s="397"/>
      <c r="O2" s="397"/>
    </row>
    <row r="3" spans="1:16">
      <c r="A3" s="115" t="s">
        <v>1246</v>
      </c>
    </row>
    <row r="4" spans="1:16">
      <c r="A4" s="115" t="s">
        <v>307</v>
      </c>
    </row>
    <row r="5" spans="1:16">
      <c r="A5" s="115" t="s">
        <v>306</v>
      </c>
    </row>
    <row r="6" spans="1:16" s="102" customFormat="1" ht="15" thickBot="1">
      <c r="C6" s="103"/>
      <c r="H6" s="104"/>
      <c r="I6" s="105"/>
      <c r="J6" s="105"/>
      <c r="K6" s="105"/>
      <c r="L6" s="104"/>
      <c r="M6" s="201" t="s">
        <v>13</v>
      </c>
      <c r="N6" s="404" t="e">
        <f>#REF!</f>
        <v>#REF!</v>
      </c>
      <c r="O6" s="404"/>
    </row>
    <row r="7" spans="1:16" s="133" customFormat="1" ht="12.75">
      <c r="A7" s="378" t="s">
        <v>27</v>
      </c>
      <c r="B7" s="381" t="s">
        <v>28</v>
      </c>
      <c r="C7" s="381" t="s">
        <v>17</v>
      </c>
      <c r="D7" s="381" t="s">
        <v>71</v>
      </c>
      <c r="E7" s="390" t="s">
        <v>15</v>
      </c>
      <c r="F7" s="391"/>
      <c r="G7" s="391"/>
      <c r="H7" s="391"/>
      <c r="I7" s="391"/>
      <c r="J7" s="392"/>
      <c r="K7" s="390" t="s">
        <v>16</v>
      </c>
      <c r="L7" s="391"/>
      <c r="M7" s="391"/>
      <c r="N7" s="391"/>
      <c r="O7" s="393"/>
    </row>
    <row r="8" spans="1:16" s="133" customFormat="1" ht="12.75" customHeight="1">
      <c r="A8" s="379"/>
      <c r="B8" s="382"/>
      <c r="C8" s="382"/>
      <c r="D8" s="382"/>
      <c r="E8" s="376" t="s">
        <v>18</v>
      </c>
      <c r="F8" s="375" t="s">
        <v>119</v>
      </c>
      <c r="G8" s="375" t="s">
        <v>120</v>
      </c>
      <c r="H8" s="375" t="s">
        <v>121</v>
      </c>
      <c r="I8" s="375" t="s">
        <v>122</v>
      </c>
      <c r="J8" s="372" t="s">
        <v>125</v>
      </c>
      <c r="K8" s="375" t="s">
        <v>20</v>
      </c>
      <c r="L8" s="375" t="s">
        <v>123</v>
      </c>
      <c r="M8" s="375" t="s">
        <v>121</v>
      </c>
      <c r="N8" s="375" t="s">
        <v>122</v>
      </c>
      <c r="O8" s="384" t="s">
        <v>124</v>
      </c>
    </row>
    <row r="9" spans="1:16" s="133" customFormat="1" ht="12.75">
      <c r="A9" s="379"/>
      <c r="B9" s="382"/>
      <c r="C9" s="382"/>
      <c r="D9" s="382"/>
      <c r="E9" s="376"/>
      <c r="F9" s="376"/>
      <c r="G9" s="376"/>
      <c r="H9" s="376"/>
      <c r="I9" s="376"/>
      <c r="J9" s="373"/>
      <c r="K9" s="376"/>
      <c r="L9" s="376"/>
      <c r="M9" s="376"/>
      <c r="N9" s="376"/>
      <c r="O9" s="385"/>
    </row>
    <row r="10" spans="1:16" s="133" customFormat="1" ht="13.5" thickBot="1">
      <c r="A10" s="380"/>
      <c r="B10" s="383"/>
      <c r="C10" s="383"/>
      <c r="D10" s="383"/>
      <c r="E10" s="377"/>
      <c r="F10" s="377"/>
      <c r="G10" s="377"/>
      <c r="H10" s="377"/>
      <c r="I10" s="377"/>
      <c r="J10" s="374"/>
      <c r="K10" s="377"/>
      <c r="L10" s="377"/>
      <c r="M10" s="377"/>
      <c r="N10" s="377"/>
      <c r="O10" s="386"/>
    </row>
    <row r="11" spans="1:16" s="133" customFormat="1" thickTop="1" thickBot="1">
      <c r="A11" s="52">
        <v>1</v>
      </c>
      <c r="B11" s="53">
        <v>2</v>
      </c>
      <c r="C11" s="53">
        <v>3</v>
      </c>
      <c r="D11" s="53">
        <v>4</v>
      </c>
      <c r="E11" s="53">
        <v>5</v>
      </c>
      <c r="F11" s="53">
        <v>6</v>
      </c>
      <c r="G11" s="53">
        <v>7</v>
      </c>
      <c r="H11" s="53">
        <v>8</v>
      </c>
      <c r="I11" s="53">
        <v>9</v>
      </c>
      <c r="J11" s="54">
        <v>10</v>
      </c>
      <c r="K11" s="53">
        <v>11</v>
      </c>
      <c r="L11" s="54">
        <v>12</v>
      </c>
      <c r="M11" s="53">
        <v>13</v>
      </c>
      <c r="N11" s="202">
        <v>14</v>
      </c>
      <c r="O11" s="55">
        <v>15</v>
      </c>
    </row>
    <row r="12" spans="1:16" s="25" customFormat="1" ht="12" customHeight="1" thickTop="1">
      <c r="A12" s="106"/>
      <c r="B12" s="180" t="s">
        <v>111</v>
      </c>
      <c r="C12" s="13"/>
      <c r="D12" s="9"/>
      <c r="E12" s="33"/>
      <c r="F12" s="33"/>
      <c r="G12" s="4"/>
      <c r="H12" s="4"/>
      <c r="I12" s="4"/>
      <c r="J12" s="4"/>
      <c r="K12" s="4"/>
      <c r="L12" s="4"/>
      <c r="M12" s="4"/>
      <c r="N12" s="4"/>
      <c r="O12" s="20"/>
      <c r="P12" s="117"/>
    </row>
    <row r="13" spans="1:16" s="117" customFormat="1" ht="12" customHeight="1">
      <c r="A13" s="106">
        <f t="shared" ref="A13" si="0">A12+1</f>
        <v>1</v>
      </c>
      <c r="B13" s="110" t="s">
        <v>108</v>
      </c>
      <c r="C13" s="116" t="s">
        <v>14</v>
      </c>
      <c r="D13" s="9">
        <v>1043</v>
      </c>
      <c r="E13" s="33"/>
      <c r="F13" s="4"/>
      <c r="G13" s="4"/>
      <c r="H13" s="33"/>
      <c r="I13" s="4"/>
      <c r="J13" s="337"/>
      <c r="K13" s="338"/>
      <c r="L13" s="338"/>
      <c r="M13" s="338"/>
      <c r="N13" s="338"/>
      <c r="O13" s="339"/>
    </row>
    <row r="14" spans="1:16" s="117" customFormat="1" ht="12" customHeight="1">
      <c r="A14" s="19" t="s">
        <v>72</v>
      </c>
      <c r="B14" s="24" t="s">
        <v>105</v>
      </c>
      <c r="C14" s="116" t="s">
        <v>106</v>
      </c>
      <c r="D14" s="140">
        <f>ROUND(D13*2.6/28,2)</f>
        <v>96.85</v>
      </c>
      <c r="E14" s="33"/>
      <c r="F14" s="4"/>
      <c r="G14" s="33"/>
      <c r="H14" s="4"/>
      <c r="I14" s="33"/>
      <c r="J14" s="337"/>
      <c r="K14" s="338"/>
      <c r="L14" s="338"/>
      <c r="M14" s="338"/>
      <c r="N14" s="338"/>
      <c r="O14" s="339"/>
    </row>
    <row r="15" spans="1:16" s="117" customFormat="1" ht="12" customHeight="1">
      <c r="A15" s="19" t="s">
        <v>73</v>
      </c>
      <c r="B15" s="24" t="s">
        <v>107</v>
      </c>
      <c r="C15" s="116" t="s">
        <v>14</v>
      </c>
      <c r="D15" s="9">
        <f>ROUND(0.02*D13,2)</f>
        <v>20.86</v>
      </c>
      <c r="E15" s="33"/>
      <c r="F15" s="4"/>
      <c r="G15" s="33"/>
      <c r="H15" s="33"/>
      <c r="I15" s="33"/>
      <c r="J15" s="337"/>
      <c r="K15" s="338"/>
      <c r="L15" s="338"/>
      <c r="M15" s="338"/>
      <c r="N15" s="338"/>
      <c r="O15" s="339"/>
    </row>
    <row r="16" spans="1:16" s="117" customFormat="1" ht="12" customHeight="1">
      <c r="A16" s="106">
        <v>2</v>
      </c>
      <c r="B16" s="174" t="s">
        <v>109</v>
      </c>
      <c r="C16" s="116" t="s">
        <v>14</v>
      </c>
      <c r="D16" s="120">
        <f>D13</f>
        <v>1043</v>
      </c>
      <c r="E16" s="33"/>
      <c r="F16" s="4"/>
      <c r="G16" s="4"/>
      <c r="H16" s="33"/>
      <c r="I16" s="4"/>
      <c r="J16" s="337"/>
      <c r="K16" s="338"/>
      <c r="L16" s="338"/>
      <c r="M16" s="338"/>
      <c r="N16" s="338"/>
      <c r="O16" s="339"/>
    </row>
    <row r="17" spans="1:16" s="25" customFormat="1" ht="12" customHeight="1">
      <c r="A17" s="19" t="s">
        <v>1372</v>
      </c>
      <c r="B17" s="203" t="s">
        <v>250</v>
      </c>
      <c r="C17" s="204" t="s">
        <v>40</v>
      </c>
      <c r="D17" s="140">
        <f>ROUND(D16*0.15,2)</f>
        <v>156.44999999999999</v>
      </c>
      <c r="E17" s="4"/>
      <c r="F17" s="4"/>
      <c r="G17" s="33"/>
      <c r="H17" s="4"/>
      <c r="I17" s="33"/>
      <c r="J17" s="337"/>
      <c r="K17" s="338"/>
      <c r="L17" s="338"/>
      <c r="M17" s="338"/>
      <c r="N17" s="338"/>
      <c r="O17" s="339"/>
      <c r="P17" s="205"/>
    </row>
    <row r="18" spans="1:16" s="117" customFormat="1" ht="12" customHeight="1">
      <c r="A18" s="106">
        <v>3</v>
      </c>
      <c r="B18" s="174" t="s">
        <v>1227</v>
      </c>
      <c r="C18" s="116" t="s">
        <v>14</v>
      </c>
      <c r="D18" s="120">
        <f>D16-38.98</f>
        <v>1004.02</v>
      </c>
      <c r="E18" s="33"/>
      <c r="F18" s="4"/>
      <c r="G18" s="4"/>
      <c r="H18" s="33"/>
      <c r="I18" s="4"/>
      <c r="J18" s="337"/>
      <c r="K18" s="338"/>
      <c r="L18" s="338"/>
      <c r="M18" s="338"/>
      <c r="N18" s="338"/>
      <c r="O18" s="339"/>
    </row>
    <row r="19" spans="1:16" s="25" customFormat="1" ht="12" customHeight="1">
      <c r="A19" s="19" t="s">
        <v>1376</v>
      </c>
      <c r="B19" s="203" t="s">
        <v>249</v>
      </c>
      <c r="C19" s="204" t="s">
        <v>40</v>
      </c>
      <c r="D19" s="9">
        <f>ROUND(D18*0.25,2)</f>
        <v>251.01</v>
      </c>
      <c r="E19" s="33"/>
      <c r="F19" s="4"/>
      <c r="G19" s="33"/>
      <c r="H19" s="4"/>
      <c r="I19" s="33"/>
      <c r="J19" s="337"/>
      <c r="K19" s="338"/>
      <c r="L19" s="338"/>
      <c r="M19" s="338"/>
      <c r="N19" s="338"/>
      <c r="O19" s="339"/>
      <c r="P19" s="205"/>
    </row>
    <row r="20" spans="1:16" s="25" customFormat="1" ht="12" customHeight="1">
      <c r="A20" s="19" t="s">
        <v>1377</v>
      </c>
      <c r="B20" s="203" t="s">
        <v>110</v>
      </c>
      <c r="C20" s="204" t="s">
        <v>40</v>
      </c>
      <c r="D20" s="140">
        <f>D19</f>
        <v>251.01</v>
      </c>
      <c r="E20" s="33"/>
      <c r="F20" s="4"/>
      <c r="G20" s="33"/>
      <c r="H20" s="33"/>
      <c r="I20" s="33"/>
      <c r="J20" s="337"/>
      <c r="K20" s="338"/>
      <c r="L20" s="338"/>
      <c r="M20" s="338"/>
      <c r="N20" s="338"/>
      <c r="O20" s="339"/>
      <c r="P20" s="205"/>
    </row>
    <row r="21" spans="1:16" s="117" customFormat="1" ht="12" customHeight="1">
      <c r="A21" s="106">
        <v>4</v>
      </c>
      <c r="B21" s="174" t="s">
        <v>1228</v>
      </c>
      <c r="C21" s="116" t="s">
        <v>14</v>
      </c>
      <c r="D21" s="120">
        <v>38.979999999999997</v>
      </c>
      <c r="E21" s="33"/>
      <c r="F21" s="4"/>
      <c r="G21" s="4"/>
      <c r="H21" s="33"/>
      <c r="I21" s="4"/>
      <c r="J21" s="337"/>
      <c r="K21" s="338"/>
      <c r="L21" s="338"/>
      <c r="M21" s="338"/>
      <c r="N21" s="338"/>
      <c r="O21" s="339"/>
    </row>
    <row r="22" spans="1:16" s="25" customFormat="1" ht="12" customHeight="1">
      <c r="A22" s="19" t="s">
        <v>1419</v>
      </c>
      <c r="B22" s="203" t="s">
        <v>1229</v>
      </c>
      <c r="C22" s="204" t="s">
        <v>40</v>
      </c>
      <c r="D22" s="9">
        <f>ROUND(D21*0.25,2)</f>
        <v>9.75</v>
      </c>
      <c r="E22" s="33"/>
      <c r="F22" s="4"/>
      <c r="G22" s="33"/>
      <c r="H22" s="4"/>
      <c r="I22" s="33"/>
      <c r="J22" s="337"/>
      <c r="K22" s="338"/>
      <c r="L22" s="338"/>
      <c r="M22" s="338"/>
      <c r="N22" s="338"/>
      <c r="O22" s="339"/>
      <c r="P22" s="205"/>
    </row>
    <row r="23" spans="1:16" s="25" customFormat="1" ht="12" customHeight="1">
      <c r="A23" s="19" t="s">
        <v>1420</v>
      </c>
      <c r="B23" s="203" t="s">
        <v>110</v>
      </c>
      <c r="C23" s="204" t="s">
        <v>40</v>
      </c>
      <c r="D23" s="140">
        <f>D22</f>
        <v>9.75</v>
      </c>
      <c r="E23" s="33"/>
      <c r="F23" s="4"/>
      <c r="G23" s="33"/>
      <c r="H23" s="33"/>
      <c r="I23" s="33"/>
      <c r="J23" s="337"/>
      <c r="K23" s="338"/>
      <c r="L23" s="338"/>
      <c r="M23" s="338"/>
      <c r="N23" s="338"/>
      <c r="O23" s="339"/>
      <c r="P23" s="205"/>
    </row>
    <row r="24" spans="1:16" s="25" customFormat="1" ht="12" customHeight="1">
      <c r="A24" s="106"/>
      <c r="B24" s="180" t="s">
        <v>112</v>
      </c>
      <c r="C24" s="13"/>
      <c r="D24" s="9"/>
      <c r="E24" s="33"/>
      <c r="F24" s="33"/>
      <c r="G24" s="4"/>
      <c r="H24" s="4"/>
      <c r="I24" s="4"/>
      <c r="J24" s="4"/>
      <c r="K24" s="4"/>
      <c r="L24" s="4"/>
      <c r="M24" s="4"/>
      <c r="N24" s="4"/>
      <c r="O24" s="20"/>
      <c r="P24" s="117"/>
    </row>
    <row r="25" spans="1:16" s="124" customFormat="1" ht="12" customHeight="1">
      <c r="A25" s="106">
        <v>5</v>
      </c>
      <c r="B25" s="174" t="s">
        <v>113</v>
      </c>
      <c r="C25" s="116" t="s">
        <v>14</v>
      </c>
      <c r="D25" s="140">
        <v>15.7</v>
      </c>
      <c r="E25" s="4"/>
      <c r="F25" s="4"/>
      <c r="G25" s="4"/>
      <c r="H25" s="112"/>
      <c r="I25" s="4"/>
      <c r="J25" s="337"/>
      <c r="K25" s="338"/>
      <c r="L25" s="338"/>
      <c r="M25" s="338"/>
      <c r="N25" s="338"/>
      <c r="O25" s="339"/>
      <c r="P25" s="206"/>
    </row>
    <row r="26" spans="1:16" s="124" customFormat="1" ht="12" customHeight="1">
      <c r="A26" s="19" t="s">
        <v>1369</v>
      </c>
      <c r="B26" s="121" t="s">
        <v>156</v>
      </c>
      <c r="C26" s="204" t="s">
        <v>40</v>
      </c>
      <c r="D26" s="120">
        <f>ROUND(D25*0.35,2)</f>
        <v>5.5</v>
      </c>
      <c r="E26" s="4"/>
      <c r="F26" s="4"/>
      <c r="G26" s="16"/>
      <c r="H26" s="4"/>
      <c r="I26" s="112"/>
      <c r="J26" s="337"/>
      <c r="K26" s="338"/>
      <c r="L26" s="338"/>
      <c r="M26" s="338"/>
      <c r="N26" s="338"/>
      <c r="O26" s="339"/>
      <c r="P26" s="206"/>
    </row>
    <row r="27" spans="1:16" s="207" customFormat="1" ht="12" customHeight="1">
      <c r="A27" s="106">
        <v>6</v>
      </c>
      <c r="B27" s="174" t="s">
        <v>117</v>
      </c>
      <c r="C27" s="116" t="s">
        <v>14</v>
      </c>
      <c r="D27" s="4">
        <f>D25</f>
        <v>15.7</v>
      </c>
      <c r="E27" s="40"/>
      <c r="F27" s="4"/>
      <c r="G27" s="4"/>
      <c r="H27" s="16"/>
      <c r="I27" s="4"/>
      <c r="J27" s="337"/>
      <c r="K27" s="338"/>
      <c r="L27" s="338"/>
      <c r="M27" s="338"/>
      <c r="N27" s="338"/>
      <c r="O27" s="339"/>
    </row>
    <row r="28" spans="1:16" s="25" customFormat="1" ht="12" customHeight="1">
      <c r="A28" s="19" t="s">
        <v>1382</v>
      </c>
      <c r="B28" s="121" t="s">
        <v>114</v>
      </c>
      <c r="C28" s="128" t="s">
        <v>83</v>
      </c>
      <c r="D28" s="9">
        <f>ROUND(D27*4,2)</f>
        <v>62.8</v>
      </c>
      <c r="E28" s="40"/>
      <c r="F28" s="4"/>
      <c r="G28" s="16"/>
      <c r="H28" s="4"/>
      <c r="I28" s="16"/>
      <c r="J28" s="337"/>
      <c r="K28" s="338"/>
      <c r="L28" s="338"/>
      <c r="M28" s="338"/>
      <c r="N28" s="338"/>
      <c r="O28" s="339"/>
    </row>
    <row r="29" spans="1:16" s="25" customFormat="1" ht="12" customHeight="1">
      <c r="A29" s="19" t="s">
        <v>1383</v>
      </c>
      <c r="B29" s="121" t="s">
        <v>115</v>
      </c>
      <c r="C29" s="128" t="s">
        <v>83</v>
      </c>
      <c r="D29" s="9">
        <f>ROUND(D27*0.3,1)</f>
        <v>4.7</v>
      </c>
      <c r="E29" s="40"/>
      <c r="F29" s="4"/>
      <c r="G29" s="16"/>
      <c r="H29" s="4"/>
      <c r="I29" s="16"/>
      <c r="J29" s="337"/>
      <c r="K29" s="338"/>
      <c r="L29" s="338"/>
      <c r="M29" s="338"/>
      <c r="N29" s="338"/>
      <c r="O29" s="339"/>
    </row>
    <row r="30" spans="1:16" s="25" customFormat="1" ht="12" customHeight="1">
      <c r="A30" s="19" t="s">
        <v>1384</v>
      </c>
      <c r="B30" s="121" t="s">
        <v>116</v>
      </c>
      <c r="C30" s="17" t="s">
        <v>41</v>
      </c>
      <c r="D30" s="9">
        <f>ROUND(D27*0.1,2)</f>
        <v>1.57</v>
      </c>
      <c r="E30" s="40"/>
      <c r="F30" s="4"/>
      <c r="G30" s="16"/>
      <c r="H30" s="4"/>
      <c r="I30" s="16"/>
      <c r="J30" s="337"/>
      <c r="K30" s="338"/>
      <c r="L30" s="338"/>
      <c r="M30" s="338"/>
      <c r="N30" s="338"/>
      <c r="O30" s="339"/>
    </row>
    <row r="31" spans="1:16" s="25" customFormat="1" ht="12" customHeight="1">
      <c r="A31" s="19" t="s">
        <v>1385</v>
      </c>
      <c r="B31" s="203" t="s">
        <v>172</v>
      </c>
      <c r="C31" s="116" t="s">
        <v>14</v>
      </c>
      <c r="D31" s="9">
        <f>ROUND(D27*1.1,2)</f>
        <v>17.27</v>
      </c>
      <c r="E31" s="36"/>
      <c r="F31" s="4"/>
      <c r="G31" s="4"/>
      <c r="H31" s="4"/>
      <c r="I31" s="16"/>
      <c r="J31" s="337"/>
      <c r="K31" s="338"/>
      <c r="L31" s="338"/>
      <c r="M31" s="338"/>
      <c r="N31" s="338"/>
      <c r="O31" s="339"/>
    </row>
    <row r="32" spans="1:16" s="25" customFormat="1" ht="12" customHeight="1">
      <c r="A32" s="106"/>
      <c r="B32" s="180" t="s">
        <v>1052</v>
      </c>
      <c r="C32" s="13"/>
      <c r="D32" s="9"/>
      <c r="E32" s="33"/>
      <c r="F32" s="33"/>
      <c r="G32" s="4"/>
      <c r="H32" s="4"/>
      <c r="I32" s="4"/>
      <c r="J32" s="4"/>
      <c r="K32" s="4"/>
      <c r="L32" s="4"/>
      <c r="M32" s="4"/>
      <c r="N32" s="4"/>
      <c r="O32" s="20"/>
      <c r="P32" s="117"/>
    </row>
    <row r="33" spans="1:63" s="25" customFormat="1">
      <c r="A33" s="106"/>
      <c r="B33" s="180" t="s">
        <v>1251</v>
      </c>
      <c r="C33" s="13"/>
      <c r="D33" s="9"/>
      <c r="E33" s="33"/>
      <c r="F33" s="33"/>
      <c r="G33" s="4"/>
      <c r="H33" s="4"/>
      <c r="I33" s="4"/>
      <c r="J33" s="4"/>
      <c r="K33" s="4"/>
      <c r="L33" s="4"/>
      <c r="M33" s="4"/>
      <c r="N33" s="4"/>
      <c r="O33" s="20"/>
      <c r="P33" s="117"/>
      <c r="Q33" s="117"/>
    </row>
    <row r="34" spans="1:63" s="25" customFormat="1" ht="12" customHeight="1">
      <c r="A34" s="106">
        <v>7</v>
      </c>
      <c r="B34" s="49" t="s">
        <v>1255</v>
      </c>
      <c r="C34" s="13" t="s">
        <v>14</v>
      </c>
      <c r="D34" s="9">
        <f>34.6+21.2+26.8+19.7+32.7</f>
        <v>135</v>
      </c>
      <c r="E34" s="33"/>
      <c r="F34" s="4"/>
      <c r="G34" s="4"/>
      <c r="H34" s="34"/>
      <c r="I34" s="4"/>
      <c r="J34" s="337"/>
      <c r="K34" s="338"/>
      <c r="L34" s="338"/>
      <c r="M34" s="338"/>
      <c r="N34" s="338"/>
      <c r="O34" s="339"/>
      <c r="Q34" s="149">
        <f>D34</f>
        <v>135</v>
      </c>
    </row>
    <row r="35" spans="1:63" s="25" customFormat="1">
      <c r="A35" s="19" t="s">
        <v>268</v>
      </c>
      <c r="B35" s="203" t="s">
        <v>1248</v>
      </c>
      <c r="C35" s="226" t="s">
        <v>40</v>
      </c>
      <c r="D35" s="140">
        <f>ROUND(D34*0.15,2)</f>
        <v>20.25</v>
      </c>
      <c r="E35" s="4"/>
      <c r="F35" s="33"/>
      <c r="G35" s="33"/>
      <c r="H35" s="11"/>
      <c r="I35" s="33"/>
      <c r="J35" s="337"/>
      <c r="K35" s="338"/>
      <c r="L35" s="338"/>
      <c r="M35" s="338"/>
      <c r="N35" s="338"/>
      <c r="O35" s="339"/>
      <c r="P35" s="205"/>
      <c r="Q35" s="33"/>
    </row>
    <row r="36" spans="1:63" s="117" customFormat="1" ht="12" customHeight="1">
      <c r="A36" s="19" t="s">
        <v>269</v>
      </c>
      <c r="B36" s="24" t="s">
        <v>1249</v>
      </c>
      <c r="C36" s="13" t="s">
        <v>95</v>
      </c>
      <c r="D36" s="14">
        <f>ROUND(D34*8.5/40,1)</f>
        <v>28.7</v>
      </c>
      <c r="E36" s="153"/>
      <c r="F36" s="153"/>
      <c r="G36" s="33"/>
      <c r="H36" s="11"/>
      <c r="I36" s="4"/>
      <c r="J36" s="337"/>
      <c r="K36" s="338"/>
      <c r="L36" s="338"/>
      <c r="M36" s="338"/>
      <c r="N36" s="338"/>
      <c r="O36" s="339"/>
      <c r="Q36" s="332"/>
      <c r="R36" s="164"/>
      <c r="S36" s="164"/>
    </row>
    <row r="37" spans="1:63" s="25" customFormat="1">
      <c r="A37" s="19" t="s">
        <v>270</v>
      </c>
      <c r="B37" s="24" t="s">
        <v>1250</v>
      </c>
      <c r="C37" s="13" t="s">
        <v>14</v>
      </c>
      <c r="D37" s="9">
        <f>ROUND(D34*1.05,2)</f>
        <v>141.75</v>
      </c>
      <c r="E37" s="228"/>
      <c r="F37" s="4"/>
      <c r="G37" s="229"/>
      <c r="H37" s="11"/>
      <c r="I37" s="229"/>
      <c r="J37" s="337"/>
      <c r="K37" s="338"/>
      <c r="L37" s="338"/>
      <c r="M37" s="338"/>
      <c r="N37" s="338"/>
      <c r="O37" s="339"/>
      <c r="Q37" s="137"/>
    </row>
    <row r="38" spans="1:63" s="25" customFormat="1">
      <c r="A38" s="106">
        <v>8</v>
      </c>
      <c r="B38" s="231" t="s">
        <v>247</v>
      </c>
      <c r="C38" s="232" t="s">
        <v>14</v>
      </c>
      <c r="D38" s="9">
        <f>D34+2.5</f>
        <v>137.5</v>
      </c>
      <c r="E38" s="33"/>
      <c r="F38" s="4"/>
      <c r="G38" s="4"/>
      <c r="H38" s="34"/>
      <c r="I38" s="4"/>
      <c r="J38" s="337"/>
      <c r="K38" s="338"/>
      <c r="L38" s="338"/>
      <c r="M38" s="338"/>
      <c r="N38" s="338"/>
      <c r="O38" s="339"/>
      <c r="P38" s="233"/>
      <c r="Q38" s="333"/>
      <c r="R38" s="133"/>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row>
    <row r="39" spans="1:63" s="25" customFormat="1" ht="12" customHeight="1">
      <c r="A39" s="19" t="s">
        <v>1474</v>
      </c>
      <c r="B39" s="24" t="s">
        <v>1053</v>
      </c>
      <c r="C39" s="234" t="s">
        <v>40</v>
      </c>
      <c r="D39" s="9">
        <f>ROUND(D38*0.15,2)</f>
        <v>20.63</v>
      </c>
      <c r="E39" s="36"/>
      <c r="F39" s="36"/>
      <c r="G39" s="33"/>
      <c r="H39" s="4"/>
      <c r="I39" s="4"/>
      <c r="J39" s="337"/>
      <c r="K39" s="338"/>
      <c r="L39" s="338"/>
      <c r="M39" s="338"/>
      <c r="N39" s="338"/>
      <c r="O39" s="339"/>
    </row>
    <row r="40" spans="1:63" s="25" customFormat="1" ht="24">
      <c r="A40" s="19" t="s">
        <v>1475</v>
      </c>
      <c r="B40" s="21" t="s">
        <v>1054</v>
      </c>
      <c r="C40" s="234" t="s">
        <v>83</v>
      </c>
      <c r="D40" s="9">
        <f>ROUND(D38*2.6,2)</f>
        <v>357.5</v>
      </c>
      <c r="E40" s="36"/>
      <c r="F40" s="36"/>
      <c r="G40" s="33"/>
      <c r="H40" s="4"/>
      <c r="I40" s="4"/>
      <c r="J40" s="337"/>
      <c r="K40" s="338"/>
      <c r="L40" s="338"/>
      <c r="M40" s="338"/>
      <c r="N40" s="338"/>
      <c r="O40" s="339"/>
    </row>
    <row r="41" spans="1:63" s="25" customFormat="1" ht="12" customHeight="1">
      <c r="A41" s="19" t="s">
        <v>1476</v>
      </c>
      <c r="B41" s="24" t="s">
        <v>107</v>
      </c>
      <c r="C41" s="232" t="s">
        <v>14</v>
      </c>
      <c r="D41" s="9">
        <f>ROUND(0.02*D38,2)</f>
        <v>2.75</v>
      </c>
      <c r="E41" s="228"/>
      <c r="F41" s="33"/>
      <c r="G41" s="4"/>
      <c r="H41" s="33"/>
      <c r="I41" s="4"/>
      <c r="J41" s="337"/>
      <c r="K41" s="338"/>
      <c r="L41" s="338"/>
      <c r="M41" s="338"/>
      <c r="N41" s="338"/>
      <c r="O41" s="339"/>
      <c r="P41" s="233"/>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row>
    <row r="42" spans="1:63" s="25" customFormat="1">
      <c r="A42" s="106">
        <v>9</v>
      </c>
      <c r="B42" s="235" t="s">
        <v>248</v>
      </c>
      <c r="C42" s="232" t="s">
        <v>14</v>
      </c>
      <c r="D42" s="9">
        <f>D38</f>
        <v>137.5</v>
      </c>
      <c r="E42" s="33"/>
      <c r="F42" s="4"/>
      <c r="G42" s="4"/>
      <c r="H42" s="34"/>
      <c r="I42" s="4"/>
      <c r="J42" s="337"/>
      <c r="K42" s="338"/>
      <c r="L42" s="338"/>
      <c r="M42" s="338"/>
      <c r="N42" s="338"/>
      <c r="O42" s="339"/>
      <c r="P42" s="233"/>
      <c r="Q42" s="333"/>
      <c r="R42" s="133"/>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row>
    <row r="43" spans="1:63" s="25" customFormat="1" ht="12" customHeight="1">
      <c r="A43" s="19" t="s">
        <v>1386</v>
      </c>
      <c r="B43" s="24" t="s">
        <v>1055</v>
      </c>
      <c r="C43" s="234" t="s">
        <v>40</v>
      </c>
      <c r="D43" s="9">
        <f>ROUND(D42*0.15,2)</f>
        <v>20.63</v>
      </c>
      <c r="E43" s="36"/>
      <c r="F43" s="36"/>
      <c r="G43" s="33"/>
      <c r="H43" s="4"/>
      <c r="I43" s="4"/>
      <c r="J43" s="337"/>
      <c r="K43" s="338"/>
      <c r="L43" s="338"/>
      <c r="M43" s="338"/>
      <c r="N43" s="338"/>
      <c r="O43" s="339"/>
    </row>
    <row r="44" spans="1:63" s="25" customFormat="1" ht="12" customHeight="1">
      <c r="A44" s="19" t="s">
        <v>1387</v>
      </c>
      <c r="B44" s="24" t="s">
        <v>1056</v>
      </c>
      <c r="C44" s="234" t="s">
        <v>83</v>
      </c>
      <c r="D44" s="9">
        <f>ROUND(D42*0.25,2)</f>
        <v>34.380000000000003</v>
      </c>
      <c r="E44" s="36"/>
      <c r="F44" s="36"/>
      <c r="G44" s="33"/>
      <c r="H44" s="4"/>
      <c r="I44" s="4"/>
      <c r="J44" s="337"/>
      <c r="K44" s="338"/>
      <c r="L44" s="338"/>
      <c r="M44" s="338"/>
      <c r="N44" s="338"/>
      <c r="O44" s="339"/>
    </row>
    <row r="45" spans="1:63" s="25" customFormat="1">
      <c r="A45" s="106"/>
      <c r="B45" s="180" t="s">
        <v>1252</v>
      </c>
      <c r="C45" s="13"/>
      <c r="D45" s="9"/>
      <c r="E45" s="33"/>
      <c r="F45" s="33"/>
      <c r="G45" s="4"/>
      <c r="H45" s="4"/>
      <c r="I45" s="4"/>
      <c r="J45" s="4"/>
      <c r="K45" s="4"/>
      <c r="L45" s="4"/>
      <c r="M45" s="4"/>
      <c r="N45" s="4"/>
      <c r="O45" s="20"/>
      <c r="P45" s="117"/>
      <c r="Q45" s="117"/>
    </row>
    <row r="46" spans="1:63" s="25" customFormat="1" ht="12" customHeight="1">
      <c r="A46" s="106">
        <v>10</v>
      </c>
      <c r="B46" s="231" t="s">
        <v>247</v>
      </c>
      <c r="C46" s="232" t="s">
        <v>14</v>
      </c>
      <c r="D46" s="9">
        <v>11</v>
      </c>
      <c r="E46" s="33"/>
      <c r="F46" s="4"/>
      <c r="G46" s="4"/>
      <c r="H46" s="34"/>
      <c r="I46" s="4"/>
      <c r="J46" s="337"/>
      <c r="K46" s="338"/>
      <c r="L46" s="338"/>
      <c r="M46" s="338"/>
      <c r="N46" s="338"/>
      <c r="O46" s="339"/>
      <c r="P46" s="233"/>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row>
    <row r="47" spans="1:63" s="25" customFormat="1" ht="12" customHeight="1">
      <c r="A47" s="19" t="s">
        <v>1390</v>
      </c>
      <c r="B47" s="24" t="s">
        <v>1053</v>
      </c>
      <c r="C47" s="234" t="s">
        <v>40</v>
      </c>
      <c r="D47" s="9">
        <f>ROUND(D46*0.15,2)</f>
        <v>1.65</v>
      </c>
      <c r="E47" s="36"/>
      <c r="F47" s="36"/>
      <c r="G47" s="33"/>
      <c r="H47" s="4"/>
      <c r="I47" s="4"/>
      <c r="J47" s="337"/>
      <c r="K47" s="338"/>
      <c r="L47" s="338"/>
      <c r="M47" s="338"/>
      <c r="N47" s="338"/>
      <c r="O47" s="339"/>
    </row>
    <row r="48" spans="1:63" s="25" customFormat="1" ht="24">
      <c r="A48" s="19" t="s">
        <v>1391</v>
      </c>
      <c r="B48" s="21" t="s">
        <v>1054</v>
      </c>
      <c r="C48" s="234" t="s">
        <v>83</v>
      </c>
      <c r="D48" s="9">
        <f>ROUND(D46*2.6,2)</f>
        <v>28.6</v>
      </c>
      <c r="E48" s="36"/>
      <c r="F48" s="36"/>
      <c r="G48" s="33"/>
      <c r="H48" s="4"/>
      <c r="I48" s="4"/>
      <c r="J48" s="337"/>
      <c r="K48" s="338"/>
      <c r="L48" s="338"/>
      <c r="M48" s="338"/>
      <c r="N48" s="338"/>
      <c r="O48" s="339"/>
    </row>
    <row r="49" spans="1:56" s="25" customFormat="1" ht="12" customHeight="1">
      <c r="A49" s="19" t="s">
        <v>1392</v>
      </c>
      <c r="B49" s="24" t="s">
        <v>107</v>
      </c>
      <c r="C49" s="232" t="s">
        <v>14</v>
      </c>
      <c r="D49" s="9">
        <f>ROUND(0.02*D46,2)</f>
        <v>0.22</v>
      </c>
      <c r="E49" s="228"/>
      <c r="F49" s="33"/>
      <c r="G49" s="4"/>
      <c r="H49" s="33"/>
      <c r="I49" s="4"/>
      <c r="J49" s="337"/>
      <c r="K49" s="338"/>
      <c r="L49" s="338"/>
      <c r="M49" s="338"/>
      <c r="N49" s="338"/>
      <c r="O49" s="339"/>
      <c r="P49" s="233"/>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row>
    <row r="50" spans="1:56" s="25" customFormat="1" ht="12" customHeight="1">
      <c r="A50" s="106">
        <v>11</v>
      </c>
      <c r="B50" s="235" t="s">
        <v>248</v>
      </c>
      <c r="C50" s="232" t="s">
        <v>14</v>
      </c>
      <c r="D50" s="9">
        <f>D46</f>
        <v>11</v>
      </c>
      <c r="E50" s="33"/>
      <c r="F50" s="4"/>
      <c r="G50" s="4"/>
      <c r="H50" s="34"/>
      <c r="I50" s="4"/>
      <c r="J50" s="337"/>
      <c r="K50" s="338"/>
      <c r="L50" s="338"/>
      <c r="M50" s="338"/>
      <c r="N50" s="338"/>
      <c r="O50" s="339"/>
      <c r="P50" s="233"/>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row>
    <row r="51" spans="1:56" s="25" customFormat="1" ht="12" customHeight="1">
      <c r="A51" s="19" t="s">
        <v>1393</v>
      </c>
      <c r="B51" s="24" t="s">
        <v>1253</v>
      </c>
      <c r="C51" s="234" t="s">
        <v>40</v>
      </c>
      <c r="D51" s="9">
        <f>ROUND(D50*0.15,2)</f>
        <v>1.65</v>
      </c>
      <c r="E51" s="36"/>
      <c r="F51" s="36"/>
      <c r="G51" s="33"/>
      <c r="H51" s="4"/>
      <c r="I51" s="4"/>
      <c r="J51" s="337"/>
      <c r="K51" s="338"/>
      <c r="L51" s="338"/>
      <c r="M51" s="338"/>
      <c r="N51" s="338"/>
      <c r="O51" s="339"/>
    </row>
    <row r="52" spans="1:56" s="25" customFormat="1" ht="24.75" thickBot="1">
      <c r="A52" s="19" t="s">
        <v>1394</v>
      </c>
      <c r="B52" s="21" t="s">
        <v>1254</v>
      </c>
      <c r="C52" s="234" t="s">
        <v>40</v>
      </c>
      <c r="D52" s="9">
        <f>ROUND(D50*0.25,2)</f>
        <v>2.75</v>
      </c>
      <c r="E52" s="36"/>
      <c r="F52" s="36"/>
      <c r="G52" s="33"/>
      <c r="H52" s="4"/>
      <c r="I52" s="4"/>
      <c r="J52" s="337"/>
      <c r="K52" s="338"/>
      <c r="L52" s="338"/>
      <c r="M52" s="338"/>
      <c r="N52" s="338"/>
      <c r="O52" s="339"/>
    </row>
    <row r="53" spans="1:56" s="102" customFormat="1" ht="15.75" thickTop="1" thickBot="1">
      <c r="A53" s="181"/>
      <c r="B53" s="400" t="s">
        <v>1587</v>
      </c>
      <c r="C53" s="401"/>
      <c r="D53" s="401"/>
      <c r="E53" s="401"/>
      <c r="F53" s="401"/>
      <c r="G53" s="401"/>
      <c r="H53" s="401"/>
      <c r="I53" s="401"/>
      <c r="J53" s="402"/>
      <c r="K53" s="182"/>
      <c r="L53" s="182"/>
      <c r="M53" s="182"/>
      <c r="N53" s="182"/>
      <c r="O53" s="183"/>
      <c r="P53" s="25"/>
    </row>
    <row r="54" spans="1:56" s="102" customFormat="1" ht="15" thickTop="1">
      <c r="B54" s="200"/>
      <c r="P54" s="25"/>
      <c r="Q54" s="25"/>
    </row>
    <row r="55" spans="1:56" s="102" customFormat="1">
      <c r="B55" s="184"/>
      <c r="P55" s="25"/>
      <c r="Q55" s="25"/>
    </row>
    <row r="56" spans="1:56" s="102" customFormat="1">
      <c r="A56" s="117"/>
      <c r="B56" s="172" t="s">
        <v>209</v>
      </c>
      <c r="C56" s="117"/>
      <c r="D56" s="117"/>
      <c r="E56" s="117"/>
      <c r="F56" s="117"/>
      <c r="G56" s="117"/>
      <c r="H56" s="117"/>
      <c r="P56" s="25"/>
      <c r="Q56" s="25"/>
      <c r="R56" s="25"/>
      <c r="S56" s="25"/>
      <c r="T56" s="25"/>
      <c r="U56" s="25"/>
      <c r="V56" s="25"/>
      <c r="W56" s="25"/>
      <c r="X56" s="25"/>
    </row>
    <row r="57" spans="1:56" s="102" customFormat="1">
      <c r="A57" s="117"/>
      <c r="B57" s="172"/>
      <c r="C57" s="117"/>
      <c r="D57" s="117"/>
      <c r="E57" s="117"/>
      <c r="F57" s="117"/>
      <c r="G57" s="117"/>
      <c r="H57" s="117"/>
      <c r="P57" s="25"/>
      <c r="Q57" s="25"/>
      <c r="R57" s="25"/>
      <c r="S57" s="25"/>
      <c r="T57" s="25"/>
      <c r="U57" s="25"/>
      <c r="V57" s="25"/>
      <c r="W57" s="25"/>
      <c r="X57" s="25"/>
    </row>
    <row r="58" spans="1:56" s="102" customFormat="1">
      <c r="B58" s="92">
        <f ca="1">TODAY()</f>
        <v>43206</v>
      </c>
      <c r="P58" s="25"/>
      <c r="Q58" s="25"/>
      <c r="R58" s="25"/>
      <c r="S58" s="25"/>
      <c r="T58" s="25"/>
      <c r="U58" s="25"/>
      <c r="V58" s="25"/>
      <c r="W58" s="25"/>
      <c r="X58" s="25"/>
    </row>
    <row r="59" spans="1:56" s="102" customFormat="1">
      <c r="A59" s="142"/>
      <c r="B59" s="142"/>
      <c r="C59" s="142"/>
      <c r="D59" s="143"/>
      <c r="E59" s="143"/>
      <c r="F59" s="143"/>
      <c r="G59" s="142"/>
      <c r="H59" s="142"/>
      <c r="I59" s="142"/>
      <c r="J59" s="142"/>
      <c r="K59" s="142"/>
      <c r="L59" s="142"/>
      <c r="M59" s="142"/>
      <c r="N59" s="142"/>
      <c r="O59" s="142"/>
      <c r="P59" s="25"/>
      <c r="Q59" s="25"/>
      <c r="R59" s="25"/>
      <c r="S59" s="25"/>
      <c r="T59" s="25"/>
      <c r="U59" s="25"/>
      <c r="V59" s="25"/>
      <c r="W59" s="25"/>
      <c r="X59" s="25"/>
    </row>
    <row r="60" spans="1:56" s="102" customFormat="1">
      <c r="A60" s="142"/>
      <c r="B60" s="142"/>
      <c r="C60" s="142"/>
      <c r="D60" s="143"/>
      <c r="E60" s="143"/>
      <c r="F60" s="143"/>
      <c r="G60" s="142"/>
      <c r="H60" s="142"/>
      <c r="I60" s="142"/>
      <c r="J60" s="142"/>
      <c r="K60" s="142"/>
      <c r="L60" s="142"/>
      <c r="M60" s="142"/>
      <c r="N60" s="142"/>
      <c r="O60" s="142"/>
      <c r="P60" s="25"/>
      <c r="Q60" s="25"/>
      <c r="R60" s="25"/>
      <c r="S60" s="25"/>
      <c r="T60" s="25"/>
      <c r="U60" s="25"/>
      <c r="V60" s="25"/>
      <c r="W60" s="25"/>
      <c r="X60" s="25"/>
    </row>
  </sheetData>
  <mergeCells count="21">
    <mergeCell ref="L8:L10"/>
    <mergeCell ref="M8:M10"/>
    <mergeCell ref="N8:N10"/>
    <mergeCell ref="N6:O6"/>
    <mergeCell ref="B53:J53"/>
    <mergeCell ref="A1:O1"/>
    <mergeCell ref="A2:O2"/>
    <mergeCell ref="K7:O7"/>
    <mergeCell ref="E8:E10"/>
    <mergeCell ref="F8:F10"/>
    <mergeCell ref="G8:G10"/>
    <mergeCell ref="H8:H10"/>
    <mergeCell ref="A7:A10"/>
    <mergeCell ref="B7:B10"/>
    <mergeCell ref="C7:C10"/>
    <mergeCell ref="D7:D10"/>
    <mergeCell ref="E7:J7"/>
    <mergeCell ref="O8:O10"/>
    <mergeCell ref="I8:I10"/>
    <mergeCell ref="J8:J10"/>
    <mergeCell ref="K8:K10"/>
  </mergeCells>
  <conditionalFormatting sqref="C47">
    <cfRule type="cellIs" dxfId="57" priority="23" stopIfTrue="1" operator="equal">
      <formula>0</formula>
    </cfRule>
    <cfRule type="expression" dxfId="56" priority="24" stopIfTrue="1">
      <formula>#DIV/0!</formula>
    </cfRule>
  </conditionalFormatting>
  <conditionalFormatting sqref="C48">
    <cfRule type="cellIs" dxfId="55" priority="25" stopIfTrue="1" operator="equal">
      <formula>0</formula>
    </cfRule>
    <cfRule type="expression" dxfId="54" priority="26" stopIfTrue="1">
      <formula>#DIV/0!</formula>
    </cfRule>
  </conditionalFormatting>
  <conditionalFormatting sqref="C51">
    <cfRule type="cellIs" dxfId="53" priority="19" stopIfTrue="1" operator="equal">
      <formula>0</formula>
    </cfRule>
    <cfRule type="expression" dxfId="52" priority="20" stopIfTrue="1">
      <formula>#DIV/0!</formula>
    </cfRule>
  </conditionalFormatting>
  <conditionalFormatting sqref="C44">
    <cfRule type="cellIs" dxfId="51" priority="5" stopIfTrue="1" operator="equal">
      <formula>0</formula>
    </cfRule>
    <cfRule type="expression" dxfId="50" priority="6" stopIfTrue="1">
      <formula>#DIV/0!</formula>
    </cfRule>
  </conditionalFormatting>
  <conditionalFormatting sqref="C43">
    <cfRule type="cellIs" dxfId="49" priority="3" stopIfTrue="1" operator="equal">
      <formula>0</formula>
    </cfRule>
    <cfRule type="expression" dxfId="48" priority="4" stopIfTrue="1">
      <formula>#DIV/0!</formula>
    </cfRule>
  </conditionalFormatting>
  <conditionalFormatting sqref="C39">
    <cfRule type="cellIs" dxfId="47" priority="7" stopIfTrue="1" operator="equal">
      <formula>0</formula>
    </cfRule>
    <cfRule type="expression" dxfId="46" priority="8" stopIfTrue="1">
      <formula>#DIV/0!</formula>
    </cfRule>
  </conditionalFormatting>
  <conditionalFormatting sqref="C40">
    <cfRule type="cellIs" dxfId="45" priority="9" stopIfTrue="1" operator="equal">
      <formula>0</formula>
    </cfRule>
    <cfRule type="expression" dxfId="44" priority="10" stopIfTrue="1">
      <formula>#DIV/0!</formula>
    </cfRule>
  </conditionalFormatting>
  <conditionalFormatting sqref="C52">
    <cfRule type="cellIs" dxfId="43" priority="1" stopIfTrue="1" operator="equal">
      <formula>0</formula>
    </cfRule>
    <cfRule type="expression" dxfId="42" priority="2" stopIfTrue="1">
      <formula>#DIV/0!</formula>
    </cfRule>
  </conditionalFormatting>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3"/>
  <sheetViews>
    <sheetView workbookViewId="0">
      <selection activeCell="K17" sqref="K17"/>
    </sheetView>
  </sheetViews>
  <sheetFormatPr defaultColWidth="9.140625" defaultRowHeight="12"/>
  <cols>
    <col min="1" max="1" width="5.5703125" style="220" customWidth="1"/>
    <col min="2" max="2" width="36.28515625" style="220" customWidth="1"/>
    <col min="3" max="4" width="7.28515625" style="220" customWidth="1"/>
    <col min="5" max="9" width="8.140625" style="220" customWidth="1"/>
    <col min="10" max="10" width="8.7109375" style="220" customWidth="1"/>
    <col min="11" max="14" width="9.140625" style="220" customWidth="1"/>
    <col min="15" max="15" width="11.140625" style="220" customWidth="1"/>
    <col min="16" max="16" width="9.28515625" style="220" customWidth="1"/>
    <col min="17" max="23" width="2.140625" style="220" customWidth="1"/>
    <col min="24" max="16384" width="9.140625" style="220"/>
  </cols>
  <sheetData>
    <row r="1" spans="1:26" s="27" customFormat="1" ht="14.25">
      <c r="A1" s="368" t="s">
        <v>741</v>
      </c>
      <c r="B1" s="368"/>
      <c r="C1" s="368"/>
      <c r="D1" s="368"/>
      <c r="E1" s="368"/>
      <c r="F1" s="368"/>
      <c r="G1" s="368"/>
      <c r="H1" s="368"/>
      <c r="I1" s="368"/>
      <c r="J1" s="368"/>
      <c r="K1" s="368"/>
      <c r="L1" s="368"/>
      <c r="M1" s="368"/>
      <c r="N1" s="368"/>
      <c r="O1" s="368"/>
    </row>
    <row r="2" spans="1:26" s="27" customFormat="1" ht="14.25">
      <c r="A2" s="405" t="str">
        <f>Kopsavilkums!C28</f>
        <v>Apsardzes telpa</v>
      </c>
      <c r="B2" s="405"/>
      <c r="C2" s="405"/>
      <c r="D2" s="405"/>
      <c r="E2" s="405"/>
      <c r="F2" s="405"/>
      <c r="G2" s="405"/>
      <c r="H2" s="405"/>
      <c r="I2" s="405"/>
      <c r="J2" s="405"/>
      <c r="K2" s="405"/>
      <c r="L2" s="405"/>
      <c r="M2" s="405"/>
      <c r="N2" s="405"/>
      <c r="O2" s="405"/>
    </row>
    <row r="3" spans="1:26" s="27" customFormat="1" ht="14.25">
      <c r="A3" s="115" t="s">
        <v>1246</v>
      </c>
      <c r="B3" s="119"/>
      <c r="C3" s="119"/>
      <c r="D3" s="119"/>
      <c r="E3" s="119"/>
      <c r="F3" s="119"/>
      <c r="G3" s="119"/>
      <c r="H3" s="119"/>
      <c r="I3" s="119"/>
      <c r="J3" s="119"/>
      <c r="K3" s="119"/>
      <c r="L3" s="119"/>
      <c r="M3" s="119"/>
      <c r="N3" s="119"/>
      <c r="O3" s="119"/>
    </row>
    <row r="4" spans="1:26" s="27" customFormat="1" ht="14.25">
      <c r="A4" s="115" t="s">
        <v>307</v>
      </c>
      <c r="B4" s="119"/>
      <c r="C4" s="119"/>
      <c r="D4" s="119"/>
      <c r="E4" s="119"/>
      <c r="F4" s="119"/>
      <c r="G4" s="119"/>
      <c r="H4" s="119"/>
      <c r="I4" s="119"/>
      <c r="J4" s="119"/>
      <c r="K4" s="119"/>
      <c r="L4" s="119"/>
      <c r="M4" s="119"/>
      <c r="N4" s="119"/>
      <c r="O4" s="119"/>
    </row>
    <row r="5" spans="1:26" s="27" customFormat="1" ht="14.25">
      <c r="A5" s="115" t="s">
        <v>306</v>
      </c>
      <c r="B5" s="119"/>
      <c r="C5" s="119"/>
      <c r="D5" s="119"/>
      <c r="E5" s="119"/>
      <c r="F5" s="119"/>
      <c r="G5" s="119"/>
      <c r="H5" s="119"/>
      <c r="I5" s="119"/>
      <c r="J5" s="119"/>
      <c r="K5" s="119"/>
      <c r="L5" s="119"/>
      <c r="M5" s="119"/>
      <c r="N5" s="119"/>
      <c r="O5" s="119"/>
    </row>
    <row r="6" spans="1:26" s="15" customFormat="1" ht="13.5" thickBot="1">
      <c r="E6" s="28"/>
      <c r="F6" s="28"/>
      <c r="G6" s="28"/>
      <c r="H6" s="28"/>
      <c r="I6" s="28"/>
      <c r="J6" s="370" t="s">
        <v>13</v>
      </c>
      <c r="K6" s="370"/>
      <c r="L6" s="370"/>
      <c r="M6" s="370"/>
      <c r="N6" s="406" t="e">
        <f>#REF!</f>
        <v>#REF!</v>
      </c>
      <c r="O6" s="406"/>
    </row>
    <row r="7" spans="1:26" s="133" customFormat="1" ht="13.15" customHeight="1">
      <c r="A7" s="378" t="s">
        <v>27</v>
      </c>
      <c r="B7" s="428" t="s">
        <v>28</v>
      </c>
      <c r="C7" s="428" t="s">
        <v>17</v>
      </c>
      <c r="D7" s="428" t="s">
        <v>19</v>
      </c>
      <c r="E7" s="390" t="s">
        <v>15</v>
      </c>
      <c r="F7" s="391"/>
      <c r="G7" s="391"/>
      <c r="H7" s="391"/>
      <c r="I7" s="391"/>
      <c r="J7" s="429"/>
      <c r="K7" s="390" t="s">
        <v>16</v>
      </c>
      <c r="L7" s="391"/>
      <c r="M7" s="391"/>
      <c r="N7" s="391"/>
      <c r="O7" s="393"/>
    </row>
    <row r="8" spans="1:26" s="133" customFormat="1" ht="12.75">
      <c r="A8" s="379"/>
      <c r="B8" s="382"/>
      <c r="C8" s="382"/>
      <c r="D8" s="382"/>
      <c r="E8" s="423" t="s">
        <v>18</v>
      </c>
      <c r="F8" s="423" t="s">
        <v>119</v>
      </c>
      <c r="G8" s="423" t="s">
        <v>252</v>
      </c>
      <c r="H8" s="423" t="s">
        <v>253</v>
      </c>
      <c r="I8" s="423" t="s">
        <v>122</v>
      </c>
      <c r="J8" s="426" t="s">
        <v>254</v>
      </c>
      <c r="K8" s="423" t="s">
        <v>20</v>
      </c>
      <c r="L8" s="423" t="s">
        <v>252</v>
      </c>
      <c r="M8" s="423" t="s">
        <v>253</v>
      </c>
      <c r="N8" s="423" t="s">
        <v>122</v>
      </c>
      <c r="O8" s="430" t="s">
        <v>255</v>
      </c>
    </row>
    <row r="9" spans="1:26" s="133" customFormat="1" ht="12.75">
      <c r="A9" s="379"/>
      <c r="B9" s="382"/>
      <c r="C9" s="382"/>
      <c r="D9" s="382"/>
      <c r="E9" s="424"/>
      <c r="F9" s="424"/>
      <c r="G9" s="424"/>
      <c r="H9" s="424"/>
      <c r="I9" s="424"/>
      <c r="J9" s="382"/>
      <c r="K9" s="424"/>
      <c r="L9" s="424"/>
      <c r="M9" s="424"/>
      <c r="N9" s="424"/>
      <c r="O9" s="431"/>
    </row>
    <row r="10" spans="1:26" s="133" customFormat="1" ht="12.75">
      <c r="A10" s="379"/>
      <c r="B10" s="382"/>
      <c r="C10" s="382"/>
      <c r="D10" s="382"/>
      <c r="E10" s="424"/>
      <c r="F10" s="433"/>
      <c r="G10" s="424"/>
      <c r="H10" s="424"/>
      <c r="I10" s="424"/>
      <c r="J10" s="382"/>
      <c r="K10" s="424"/>
      <c r="L10" s="424"/>
      <c r="M10" s="424"/>
      <c r="N10" s="424"/>
      <c r="O10" s="431"/>
    </row>
    <row r="11" spans="1:26" s="133" customFormat="1" ht="13.5" thickBot="1">
      <c r="A11" s="427"/>
      <c r="B11" s="383"/>
      <c r="C11" s="383"/>
      <c r="D11" s="383"/>
      <c r="E11" s="425"/>
      <c r="F11" s="425"/>
      <c r="G11" s="425"/>
      <c r="H11" s="425"/>
      <c r="I11" s="425"/>
      <c r="J11" s="383"/>
      <c r="K11" s="425"/>
      <c r="L11" s="425"/>
      <c r="M11" s="425"/>
      <c r="N11" s="425"/>
      <c r="O11" s="432"/>
    </row>
    <row r="12" spans="1:26" s="133" customFormat="1" ht="14.25" thickTop="1" thickBot="1">
      <c r="A12" s="52">
        <v>1</v>
      </c>
      <c r="B12" s="53">
        <v>2</v>
      </c>
      <c r="C12" s="53">
        <v>4</v>
      </c>
      <c r="D12" s="53">
        <v>5</v>
      </c>
      <c r="E12" s="53">
        <v>6</v>
      </c>
      <c r="F12" s="53">
        <v>7</v>
      </c>
      <c r="G12" s="53">
        <v>8</v>
      </c>
      <c r="H12" s="53">
        <v>9</v>
      </c>
      <c r="I12" s="53">
        <v>10</v>
      </c>
      <c r="J12" s="53">
        <v>11</v>
      </c>
      <c r="K12" s="53">
        <v>12</v>
      </c>
      <c r="L12" s="53">
        <v>13</v>
      </c>
      <c r="M12" s="53">
        <v>14</v>
      </c>
      <c r="N12" s="54">
        <v>15</v>
      </c>
      <c r="O12" s="55">
        <v>16</v>
      </c>
    </row>
    <row r="13" spans="1:26" s="25" customFormat="1" ht="36.75" customHeight="1" thickTop="1">
      <c r="A13" s="415">
        <v>1</v>
      </c>
      <c r="B13" s="413" t="s">
        <v>1539</v>
      </c>
      <c r="C13" s="411" t="s">
        <v>30</v>
      </c>
      <c r="D13" s="409">
        <v>1</v>
      </c>
      <c r="E13" s="407"/>
      <c r="F13" s="407"/>
      <c r="G13" s="407"/>
      <c r="H13" s="407"/>
      <c r="I13" s="407"/>
      <c r="J13" s="421"/>
      <c r="K13" s="417"/>
      <c r="L13" s="417"/>
      <c r="M13" s="417"/>
      <c r="N13" s="417"/>
      <c r="O13" s="419"/>
    </row>
    <row r="14" spans="1:26" s="25" customFormat="1" ht="130.5" customHeight="1" thickBot="1">
      <c r="A14" s="416"/>
      <c r="B14" s="414"/>
      <c r="C14" s="412"/>
      <c r="D14" s="410"/>
      <c r="E14" s="408"/>
      <c r="F14" s="408"/>
      <c r="G14" s="408"/>
      <c r="H14" s="408"/>
      <c r="I14" s="408"/>
      <c r="J14" s="422"/>
      <c r="K14" s="418"/>
      <c r="L14" s="418"/>
      <c r="M14" s="418"/>
      <c r="N14" s="418"/>
      <c r="O14" s="420"/>
    </row>
    <row r="15" spans="1:26" s="27" customFormat="1" ht="15.75" thickTop="1" thickBot="1">
      <c r="A15" s="39"/>
      <c r="B15" s="387" t="s">
        <v>1587</v>
      </c>
      <c r="C15" s="388"/>
      <c r="D15" s="388"/>
      <c r="E15" s="388"/>
      <c r="F15" s="388"/>
      <c r="G15" s="388"/>
      <c r="H15" s="388"/>
      <c r="I15" s="388"/>
      <c r="J15" s="389"/>
      <c r="K15" s="145"/>
      <c r="L15" s="145"/>
      <c r="M15" s="145"/>
      <c r="N15" s="145"/>
      <c r="O15" s="146"/>
      <c r="P15" s="26"/>
      <c r="Q15" s="26"/>
      <c r="R15" s="26"/>
      <c r="S15" s="26"/>
      <c r="T15" s="26"/>
      <c r="U15" s="26"/>
      <c r="V15" s="26"/>
      <c r="W15" s="26"/>
      <c r="X15" s="26"/>
      <c r="Y15" s="26"/>
      <c r="Z15" s="26"/>
    </row>
    <row r="16" spans="1:26" s="27" customFormat="1" ht="15" thickTop="1">
      <c r="B16" s="3"/>
      <c r="P16" s="26"/>
      <c r="Q16" s="26"/>
      <c r="R16" s="26"/>
      <c r="S16" s="26"/>
      <c r="T16" s="26"/>
      <c r="U16" s="26"/>
      <c r="V16" s="26"/>
      <c r="W16" s="26"/>
      <c r="X16" s="26"/>
      <c r="Y16" s="26"/>
      <c r="Z16" s="26"/>
    </row>
    <row r="17" spans="1:26" s="27" customFormat="1" ht="14.25">
      <c r="B17" s="65"/>
      <c r="P17" s="26"/>
      <c r="Q17" s="26"/>
      <c r="R17" s="26"/>
      <c r="S17" s="26"/>
      <c r="T17" s="26"/>
      <c r="U17" s="26"/>
      <c r="V17" s="26"/>
      <c r="W17" s="26"/>
      <c r="X17" s="26"/>
      <c r="Y17" s="26"/>
      <c r="Z17" s="26"/>
    </row>
    <row r="18" spans="1:26" s="27" customFormat="1" ht="14.25">
      <c r="A18" s="117"/>
      <c r="B18" s="172" t="s">
        <v>209</v>
      </c>
      <c r="C18" s="117"/>
      <c r="D18" s="117"/>
      <c r="E18" s="117"/>
      <c r="F18" s="117"/>
      <c r="G18" s="117"/>
      <c r="H18" s="117"/>
      <c r="I18" s="102"/>
      <c r="J18" s="102"/>
      <c r="K18" s="102"/>
      <c r="L18" s="102"/>
      <c r="M18" s="102"/>
      <c r="N18" s="102"/>
      <c r="O18" s="102"/>
      <c r="P18" s="26"/>
      <c r="Q18" s="26"/>
      <c r="R18" s="26"/>
      <c r="S18" s="26"/>
      <c r="T18" s="26"/>
      <c r="U18" s="26"/>
      <c r="V18" s="26"/>
      <c r="W18" s="26"/>
      <c r="X18" s="26"/>
      <c r="Y18" s="26"/>
      <c r="Z18" s="26"/>
    </row>
    <row r="19" spans="1:26" s="27" customFormat="1" ht="14.25">
      <c r="A19" s="117"/>
      <c r="B19" s="172"/>
      <c r="C19" s="117"/>
      <c r="D19" s="117"/>
      <c r="E19" s="117"/>
      <c r="F19" s="117"/>
      <c r="G19" s="117"/>
      <c r="H19" s="117"/>
      <c r="I19" s="102"/>
      <c r="J19" s="102"/>
      <c r="K19" s="102"/>
      <c r="L19" s="102"/>
      <c r="M19" s="102"/>
      <c r="N19" s="102"/>
      <c r="O19" s="102"/>
      <c r="P19" s="26"/>
      <c r="Q19" s="26"/>
      <c r="R19" s="26"/>
      <c r="S19" s="26"/>
      <c r="T19" s="26"/>
      <c r="U19" s="26"/>
      <c r="V19" s="26"/>
      <c r="W19" s="26"/>
      <c r="X19" s="26"/>
      <c r="Y19" s="26"/>
      <c r="Z19" s="26"/>
    </row>
    <row r="20" spans="1:26" s="102" customFormat="1" ht="14.25">
      <c r="A20" s="27"/>
      <c r="B20" s="92">
        <f ca="1">TODAY()</f>
        <v>43206</v>
      </c>
      <c r="C20" s="144"/>
      <c r="D20" s="27"/>
      <c r="E20" s="27"/>
      <c r="F20" s="27"/>
      <c r="G20" s="27"/>
      <c r="H20" s="27"/>
      <c r="I20" s="27"/>
      <c r="J20" s="27"/>
      <c r="K20" s="27"/>
      <c r="L20" s="27"/>
      <c r="M20" s="27"/>
      <c r="N20" s="27"/>
      <c r="O20" s="27"/>
      <c r="P20" s="25"/>
      <c r="Q20" s="25"/>
      <c r="R20" s="25"/>
      <c r="S20" s="25"/>
      <c r="T20" s="25"/>
      <c r="U20" s="25"/>
      <c r="V20" s="25"/>
      <c r="W20" s="25"/>
      <c r="X20" s="25"/>
      <c r="Y20" s="25"/>
      <c r="Z20" s="25"/>
    </row>
    <row r="21" spans="1:26" s="102" customFormat="1" ht="14.25">
      <c r="A21" s="220"/>
      <c r="B21" s="220"/>
      <c r="C21" s="220"/>
      <c r="D21" s="220"/>
      <c r="E21" s="220"/>
      <c r="F21" s="220"/>
      <c r="G21" s="220"/>
      <c r="H21" s="220"/>
      <c r="I21" s="220"/>
      <c r="J21" s="220"/>
      <c r="K21" s="220"/>
      <c r="L21" s="220"/>
      <c r="M21" s="220"/>
      <c r="N21" s="220"/>
      <c r="O21" s="220"/>
      <c r="P21" s="25"/>
      <c r="Q21" s="25"/>
      <c r="R21" s="25"/>
      <c r="S21" s="25"/>
      <c r="T21" s="25"/>
      <c r="U21" s="25"/>
      <c r="V21" s="25"/>
      <c r="W21" s="25"/>
      <c r="X21" s="25"/>
      <c r="Y21" s="25"/>
      <c r="Z21" s="25"/>
    </row>
    <row r="22" spans="1:26" s="27" customFormat="1" ht="14.25">
      <c r="A22" s="220"/>
      <c r="B22" s="220" t="s">
        <v>1358</v>
      </c>
      <c r="C22" s="220"/>
      <c r="D22" s="220"/>
      <c r="E22" s="220"/>
      <c r="F22" s="220"/>
      <c r="G22" s="220"/>
      <c r="H22" s="220"/>
      <c r="I22" s="220"/>
      <c r="J22" s="220"/>
      <c r="K22" s="220"/>
      <c r="L22" s="220"/>
      <c r="M22" s="220"/>
      <c r="N22" s="220"/>
      <c r="O22" s="220"/>
      <c r="P22" s="26"/>
      <c r="Q22" s="26"/>
      <c r="R22" s="26"/>
      <c r="S22" s="26"/>
      <c r="T22" s="26"/>
      <c r="U22" s="26"/>
      <c r="V22" s="26"/>
      <c r="W22" s="26"/>
      <c r="X22" s="26"/>
      <c r="Y22" s="26"/>
      <c r="Z22" s="26"/>
    </row>
    <row r="23" spans="1:26">
      <c r="B23" s="220" t="s">
        <v>1363</v>
      </c>
    </row>
  </sheetData>
  <mergeCells count="37">
    <mergeCell ref="B15:J15"/>
    <mergeCell ref="A1:O1"/>
    <mergeCell ref="A2:O2"/>
    <mergeCell ref="J6:M6"/>
    <mergeCell ref="N6:O6"/>
    <mergeCell ref="A7:A11"/>
    <mergeCell ref="B7:B11"/>
    <mergeCell ref="C7:C11"/>
    <mergeCell ref="D7:D11"/>
    <mergeCell ref="E7:J7"/>
    <mergeCell ref="N8:N11"/>
    <mergeCell ref="O8:O11"/>
    <mergeCell ref="K7:O7"/>
    <mergeCell ref="E8:E11"/>
    <mergeCell ref="F8:F11"/>
    <mergeCell ref="G8:G11"/>
    <mergeCell ref="M8:M11"/>
    <mergeCell ref="H8:H11"/>
    <mergeCell ref="I8:I11"/>
    <mergeCell ref="J8:J11"/>
    <mergeCell ref="K8:K11"/>
    <mergeCell ref="L8:L11"/>
    <mergeCell ref="F13:F14"/>
    <mergeCell ref="G13:G14"/>
    <mergeCell ref="H13:H14"/>
    <mergeCell ref="I13:I14"/>
    <mergeCell ref="J13:J14"/>
    <mergeCell ref="K13:K14"/>
    <mergeCell ref="L13:L14"/>
    <mergeCell ref="M13:M14"/>
    <mergeCell ref="N13:N14"/>
    <mergeCell ref="O13:O14"/>
    <mergeCell ref="E13:E14"/>
    <mergeCell ref="D13:D14"/>
    <mergeCell ref="C13:C14"/>
    <mergeCell ref="B13:B14"/>
    <mergeCell ref="A13:A14"/>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12"/>
  <sheetViews>
    <sheetView topLeftCell="A94" zoomScaleNormal="100" workbookViewId="0">
      <selection activeCell="L107" sqref="L107"/>
    </sheetView>
  </sheetViews>
  <sheetFormatPr defaultColWidth="9.140625" defaultRowHeight="12"/>
  <cols>
    <col min="1" max="1" width="5.5703125" style="220" customWidth="1"/>
    <col min="2" max="2" width="36.28515625" style="220" customWidth="1"/>
    <col min="3" max="3" width="6.42578125" style="220" customWidth="1"/>
    <col min="4" max="5" width="7.28515625" style="220" customWidth="1"/>
    <col min="6" max="10" width="8.140625" style="220" customWidth="1"/>
    <col min="11" max="11" width="9.7109375" style="220" customWidth="1"/>
    <col min="12" max="13" width="9.140625" style="220" customWidth="1"/>
    <col min="14" max="14" width="9.7109375" style="220" customWidth="1"/>
    <col min="15" max="15" width="9.140625" style="220" customWidth="1"/>
    <col min="16" max="16" width="10.140625" style="220" customWidth="1"/>
    <col min="17" max="17" width="9.28515625" style="220" customWidth="1"/>
    <col min="18" max="24" width="2.140625" style="220" customWidth="1"/>
    <col min="25" max="16384" width="9.140625" style="220"/>
  </cols>
  <sheetData>
    <row r="1" spans="1:16" s="102" customFormat="1" ht="14.25">
      <c r="A1" s="396" t="s">
        <v>579</v>
      </c>
      <c r="B1" s="396"/>
      <c r="C1" s="396"/>
      <c r="D1" s="396"/>
      <c r="E1" s="396"/>
      <c r="F1" s="396"/>
      <c r="G1" s="396"/>
      <c r="H1" s="396"/>
      <c r="I1" s="396"/>
      <c r="J1" s="396"/>
      <c r="K1" s="396"/>
      <c r="L1" s="396"/>
      <c r="M1" s="396"/>
      <c r="N1" s="396"/>
      <c r="O1" s="396"/>
      <c r="P1" s="396"/>
    </row>
    <row r="2" spans="1:16" s="102" customFormat="1" ht="14.25">
      <c r="A2" s="397" t="str">
        <f>Kopsavilkums!C30</f>
        <v>Ventilācija un Kondicionēšana</v>
      </c>
      <c r="B2" s="397"/>
      <c r="C2" s="397"/>
      <c r="D2" s="397"/>
      <c r="E2" s="397"/>
      <c r="F2" s="397"/>
      <c r="G2" s="397"/>
      <c r="H2" s="397"/>
      <c r="I2" s="397"/>
      <c r="J2" s="397"/>
      <c r="K2" s="397"/>
      <c r="L2" s="397"/>
      <c r="M2" s="397"/>
      <c r="N2" s="397"/>
      <c r="O2" s="397"/>
      <c r="P2" s="397"/>
    </row>
    <row r="3" spans="1:16" s="102" customFormat="1" ht="14.25">
      <c r="A3" s="115" t="s">
        <v>1246</v>
      </c>
      <c r="B3" s="177"/>
      <c r="C3" s="177"/>
      <c r="D3" s="177"/>
      <c r="E3" s="177"/>
      <c r="F3" s="177"/>
      <c r="G3" s="177"/>
      <c r="H3" s="177"/>
      <c r="I3" s="177"/>
      <c r="J3" s="177"/>
      <c r="K3" s="177"/>
      <c r="L3" s="177"/>
      <c r="M3" s="177"/>
      <c r="N3" s="177"/>
      <c r="O3" s="177"/>
      <c r="P3" s="177"/>
    </row>
    <row r="4" spans="1:16" s="102" customFormat="1" ht="14.25">
      <c r="A4" s="115" t="s">
        <v>307</v>
      </c>
      <c r="B4" s="177"/>
      <c r="C4" s="177"/>
      <c r="D4" s="177"/>
      <c r="E4" s="177"/>
      <c r="F4" s="177"/>
      <c r="G4" s="177"/>
      <c r="H4" s="177"/>
      <c r="I4" s="177"/>
      <c r="J4" s="177"/>
      <c r="K4" s="177"/>
      <c r="L4" s="177"/>
      <c r="M4" s="177"/>
      <c r="N4" s="177"/>
      <c r="O4" s="177"/>
      <c r="P4" s="177"/>
    </row>
    <row r="5" spans="1:16" s="102" customFormat="1" ht="14.25">
      <c r="A5" s="115" t="s">
        <v>306</v>
      </c>
      <c r="B5" s="177"/>
      <c r="C5" s="177"/>
      <c r="D5" s="177"/>
      <c r="E5" s="177"/>
      <c r="F5" s="177"/>
      <c r="G5" s="177"/>
      <c r="H5" s="177"/>
      <c r="I5" s="177"/>
      <c r="J5" s="177"/>
      <c r="K5" s="177"/>
      <c r="L5" s="177"/>
      <c r="M5" s="177"/>
      <c r="N5" s="177"/>
      <c r="O5" s="177"/>
      <c r="P5" s="177"/>
    </row>
    <row r="6" spans="1:16" s="117" customFormat="1" ht="13.5" thickBot="1">
      <c r="F6" s="133"/>
      <c r="G6" s="133"/>
      <c r="H6" s="133"/>
      <c r="I6" s="133"/>
      <c r="J6" s="133"/>
      <c r="K6" s="403" t="s">
        <v>13</v>
      </c>
      <c r="L6" s="403"/>
      <c r="M6" s="403"/>
      <c r="N6" s="403"/>
      <c r="O6" s="404" t="e">
        <f>#REF!</f>
        <v>#REF!</v>
      </c>
      <c r="P6" s="404"/>
    </row>
    <row r="7" spans="1:16" s="133" customFormat="1" ht="12.75">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25" customFormat="1" ht="15" thickTop="1">
      <c r="A13" s="106"/>
      <c r="B13" s="236" t="s">
        <v>543</v>
      </c>
      <c r="C13" s="237"/>
      <c r="D13" s="13"/>
      <c r="E13" s="10"/>
      <c r="F13" s="33"/>
      <c r="G13" s="33"/>
      <c r="H13" s="4"/>
      <c r="I13" s="4"/>
      <c r="J13" s="4"/>
      <c r="K13" s="4"/>
      <c r="L13" s="4"/>
      <c r="M13" s="4"/>
      <c r="N13" s="4"/>
      <c r="O13" s="4"/>
      <c r="P13" s="20"/>
    </row>
    <row r="14" spans="1:16" s="25" customFormat="1" ht="101.25">
      <c r="A14" s="106">
        <f t="shared" ref="A14:A77" si="0">A13+1</f>
        <v>1</v>
      </c>
      <c r="B14" s="2" t="s">
        <v>544</v>
      </c>
      <c r="C14" s="214" t="s">
        <v>976</v>
      </c>
      <c r="D14" s="13" t="s">
        <v>30</v>
      </c>
      <c r="E14" s="215">
        <v>1</v>
      </c>
      <c r="F14" s="107"/>
      <c r="G14" s="108"/>
      <c r="H14" s="4"/>
      <c r="I14" s="4"/>
      <c r="J14" s="4"/>
      <c r="K14" s="337"/>
      <c r="L14" s="338"/>
      <c r="M14" s="338"/>
      <c r="N14" s="338"/>
      <c r="O14" s="338"/>
      <c r="P14" s="339"/>
    </row>
    <row r="15" spans="1:16" s="25" customFormat="1" ht="14.25">
      <c r="A15" s="106">
        <f t="shared" si="0"/>
        <v>2</v>
      </c>
      <c r="B15" s="2" t="s">
        <v>545</v>
      </c>
      <c r="C15" s="214" t="s">
        <v>923</v>
      </c>
      <c r="D15" s="13" t="s">
        <v>42</v>
      </c>
      <c r="E15" s="14">
        <v>25</v>
      </c>
      <c r="F15" s="107"/>
      <c r="G15" s="108"/>
      <c r="H15" s="4"/>
      <c r="I15" s="4"/>
      <c r="J15" s="4"/>
      <c r="K15" s="337"/>
      <c r="L15" s="338"/>
      <c r="M15" s="338"/>
      <c r="N15" s="338"/>
      <c r="O15" s="338"/>
      <c r="P15" s="339"/>
    </row>
    <row r="16" spans="1:16" s="25" customFormat="1" ht="14.25">
      <c r="A16" s="106">
        <f t="shared" si="0"/>
        <v>3</v>
      </c>
      <c r="B16" s="2" t="s">
        <v>545</v>
      </c>
      <c r="C16" s="214" t="s">
        <v>924</v>
      </c>
      <c r="D16" s="13" t="s">
        <v>42</v>
      </c>
      <c r="E16" s="14">
        <v>13</v>
      </c>
      <c r="F16" s="107"/>
      <c r="G16" s="108"/>
      <c r="H16" s="4"/>
      <c r="I16" s="4"/>
      <c r="J16" s="4"/>
      <c r="K16" s="337"/>
      <c r="L16" s="338"/>
      <c r="M16" s="338"/>
      <c r="N16" s="338"/>
      <c r="O16" s="338"/>
      <c r="P16" s="339"/>
    </row>
    <row r="17" spans="1:16" s="25" customFormat="1" ht="14.25">
      <c r="A17" s="106">
        <f t="shared" si="0"/>
        <v>4</v>
      </c>
      <c r="B17" s="2" t="s">
        <v>545</v>
      </c>
      <c r="C17" s="214" t="s">
        <v>925</v>
      </c>
      <c r="D17" s="13" t="s">
        <v>42</v>
      </c>
      <c r="E17" s="14">
        <v>15</v>
      </c>
      <c r="F17" s="107"/>
      <c r="G17" s="108"/>
      <c r="H17" s="4"/>
      <c r="I17" s="4"/>
      <c r="J17" s="4"/>
      <c r="K17" s="337"/>
      <c r="L17" s="338"/>
      <c r="M17" s="338"/>
      <c r="N17" s="338"/>
      <c r="O17" s="338"/>
      <c r="P17" s="339"/>
    </row>
    <row r="18" spans="1:16" s="25" customFormat="1" ht="14.25">
      <c r="A18" s="106">
        <f t="shared" si="0"/>
        <v>5</v>
      </c>
      <c r="B18" s="2" t="s">
        <v>545</v>
      </c>
      <c r="C18" s="214" t="s">
        <v>926</v>
      </c>
      <c r="D18" s="13" t="s">
        <v>42</v>
      </c>
      <c r="E18" s="14">
        <v>18</v>
      </c>
      <c r="F18" s="107"/>
      <c r="G18" s="108"/>
      <c r="H18" s="4"/>
      <c r="I18" s="4"/>
      <c r="J18" s="4"/>
      <c r="K18" s="337"/>
      <c r="L18" s="338"/>
      <c r="M18" s="338"/>
      <c r="N18" s="338"/>
      <c r="O18" s="338"/>
      <c r="P18" s="339"/>
    </row>
    <row r="19" spans="1:16" s="25" customFormat="1" ht="14.25">
      <c r="A19" s="106">
        <f t="shared" si="0"/>
        <v>6</v>
      </c>
      <c r="B19" s="2" t="s">
        <v>545</v>
      </c>
      <c r="C19" s="214" t="s">
        <v>927</v>
      </c>
      <c r="D19" s="13" t="s">
        <v>42</v>
      </c>
      <c r="E19" s="14">
        <v>13</v>
      </c>
      <c r="F19" s="107"/>
      <c r="G19" s="108"/>
      <c r="H19" s="4"/>
      <c r="I19" s="4"/>
      <c r="J19" s="4"/>
      <c r="K19" s="337"/>
      <c r="L19" s="338"/>
      <c r="M19" s="338"/>
      <c r="N19" s="338"/>
      <c r="O19" s="338"/>
      <c r="P19" s="339"/>
    </row>
    <row r="20" spans="1:16" s="25" customFormat="1" ht="14.25">
      <c r="A20" s="106">
        <f t="shared" si="0"/>
        <v>7</v>
      </c>
      <c r="B20" s="2" t="s">
        <v>545</v>
      </c>
      <c r="C20" s="214" t="s">
        <v>928</v>
      </c>
      <c r="D20" s="13" t="s">
        <v>42</v>
      </c>
      <c r="E20" s="14">
        <v>3</v>
      </c>
      <c r="F20" s="107"/>
      <c r="G20" s="108"/>
      <c r="H20" s="4"/>
      <c r="I20" s="4"/>
      <c r="J20" s="4"/>
      <c r="K20" s="337"/>
      <c r="L20" s="338"/>
      <c r="M20" s="338"/>
      <c r="N20" s="338"/>
      <c r="O20" s="338"/>
      <c r="P20" s="339"/>
    </row>
    <row r="21" spans="1:16" s="25" customFormat="1" ht="22.5">
      <c r="A21" s="106">
        <f t="shared" si="0"/>
        <v>8</v>
      </c>
      <c r="B21" s="2" t="s">
        <v>545</v>
      </c>
      <c r="C21" s="214" t="s">
        <v>546</v>
      </c>
      <c r="D21" s="13" t="s">
        <v>42</v>
      </c>
      <c r="E21" s="14">
        <v>2</v>
      </c>
      <c r="F21" s="107"/>
      <c r="G21" s="108"/>
      <c r="H21" s="4"/>
      <c r="I21" s="4"/>
      <c r="J21" s="4"/>
      <c r="K21" s="337"/>
      <c r="L21" s="338"/>
      <c r="M21" s="338"/>
      <c r="N21" s="338"/>
      <c r="O21" s="338"/>
      <c r="P21" s="339"/>
    </row>
    <row r="22" spans="1:16" s="25" customFormat="1" ht="22.5">
      <c r="A22" s="106">
        <f t="shared" si="0"/>
        <v>9</v>
      </c>
      <c r="B22" s="2" t="s">
        <v>545</v>
      </c>
      <c r="C22" s="214" t="s">
        <v>547</v>
      </c>
      <c r="D22" s="13" t="s">
        <v>42</v>
      </c>
      <c r="E22" s="14">
        <v>16</v>
      </c>
      <c r="F22" s="107"/>
      <c r="G22" s="108"/>
      <c r="H22" s="4"/>
      <c r="I22" s="4"/>
      <c r="J22" s="4"/>
      <c r="K22" s="337"/>
      <c r="L22" s="338"/>
      <c r="M22" s="338"/>
      <c r="N22" s="338"/>
      <c r="O22" s="338"/>
      <c r="P22" s="339"/>
    </row>
    <row r="23" spans="1:16" s="25" customFormat="1" ht="22.5">
      <c r="A23" s="106">
        <f t="shared" si="0"/>
        <v>10</v>
      </c>
      <c r="B23" s="2" t="s">
        <v>545</v>
      </c>
      <c r="C23" s="214" t="s">
        <v>548</v>
      </c>
      <c r="D23" s="13" t="s">
        <v>42</v>
      </c>
      <c r="E23" s="14">
        <v>0.2</v>
      </c>
      <c r="F23" s="107"/>
      <c r="G23" s="108"/>
      <c r="H23" s="4"/>
      <c r="I23" s="4"/>
      <c r="J23" s="4"/>
      <c r="K23" s="337"/>
      <c r="L23" s="338"/>
      <c r="M23" s="338"/>
      <c r="N23" s="338"/>
      <c r="O23" s="338"/>
      <c r="P23" s="339"/>
    </row>
    <row r="24" spans="1:16" s="25" customFormat="1" ht="22.5">
      <c r="A24" s="106">
        <f t="shared" si="0"/>
        <v>11</v>
      </c>
      <c r="B24" s="2" t="s">
        <v>549</v>
      </c>
      <c r="C24" s="214" t="s">
        <v>953</v>
      </c>
      <c r="D24" s="13" t="s">
        <v>29</v>
      </c>
      <c r="E24" s="215">
        <v>1</v>
      </c>
      <c r="F24" s="107"/>
      <c r="G24" s="108"/>
      <c r="H24" s="4"/>
      <c r="I24" s="4"/>
      <c r="J24" s="4"/>
      <c r="K24" s="337"/>
      <c r="L24" s="338"/>
      <c r="M24" s="338"/>
      <c r="N24" s="338"/>
      <c r="O24" s="338"/>
      <c r="P24" s="339"/>
    </row>
    <row r="25" spans="1:16" s="25" customFormat="1" ht="22.5">
      <c r="A25" s="106">
        <f t="shared" si="0"/>
        <v>12</v>
      </c>
      <c r="B25" s="2" t="s">
        <v>549</v>
      </c>
      <c r="C25" s="214" t="s">
        <v>1095</v>
      </c>
      <c r="D25" s="13" t="s">
        <v>29</v>
      </c>
      <c r="E25" s="215">
        <v>2</v>
      </c>
      <c r="F25" s="107"/>
      <c r="G25" s="108"/>
      <c r="H25" s="4"/>
      <c r="I25" s="4"/>
      <c r="J25" s="4"/>
      <c r="K25" s="337"/>
      <c r="L25" s="338"/>
      <c r="M25" s="338"/>
      <c r="N25" s="338"/>
      <c r="O25" s="338"/>
      <c r="P25" s="339"/>
    </row>
    <row r="26" spans="1:16" s="25" customFormat="1" ht="22.5">
      <c r="A26" s="106">
        <f t="shared" si="0"/>
        <v>13</v>
      </c>
      <c r="B26" s="2" t="s">
        <v>549</v>
      </c>
      <c r="C26" s="214" t="s">
        <v>1096</v>
      </c>
      <c r="D26" s="13" t="s">
        <v>29</v>
      </c>
      <c r="E26" s="215">
        <v>4</v>
      </c>
      <c r="F26" s="107"/>
      <c r="G26" s="108"/>
      <c r="H26" s="4"/>
      <c r="I26" s="4"/>
      <c r="J26" s="4"/>
      <c r="K26" s="337"/>
      <c r="L26" s="338"/>
      <c r="M26" s="338"/>
      <c r="N26" s="338"/>
      <c r="O26" s="338"/>
      <c r="P26" s="339"/>
    </row>
    <row r="27" spans="1:16" s="25" customFormat="1" ht="22.5">
      <c r="A27" s="106">
        <f t="shared" si="0"/>
        <v>14</v>
      </c>
      <c r="B27" s="2" t="s">
        <v>549</v>
      </c>
      <c r="C27" s="214" t="s">
        <v>929</v>
      </c>
      <c r="D27" s="13" t="s">
        <v>29</v>
      </c>
      <c r="E27" s="215">
        <v>1</v>
      </c>
      <c r="F27" s="107"/>
      <c r="G27" s="108"/>
      <c r="H27" s="4"/>
      <c r="I27" s="4"/>
      <c r="J27" s="4"/>
      <c r="K27" s="337"/>
      <c r="L27" s="338"/>
      <c r="M27" s="338"/>
      <c r="N27" s="338"/>
      <c r="O27" s="338"/>
      <c r="P27" s="339"/>
    </row>
    <row r="28" spans="1:16" s="25" customFormat="1" ht="22.5">
      <c r="A28" s="106">
        <f t="shared" si="0"/>
        <v>15</v>
      </c>
      <c r="B28" s="2" t="s">
        <v>549</v>
      </c>
      <c r="C28" s="214" t="s">
        <v>930</v>
      </c>
      <c r="D28" s="13" t="s">
        <v>29</v>
      </c>
      <c r="E28" s="215">
        <v>11</v>
      </c>
      <c r="F28" s="107"/>
      <c r="G28" s="108"/>
      <c r="H28" s="4"/>
      <c r="I28" s="4"/>
      <c r="J28" s="4"/>
      <c r="K28" s="337"/>
      <c r="L28" s="338"/>
      <c r="M28" s="338"/>
      <c r="N28" s="338"/>
      <c r="O28" s="338"/>
      <c r="P28" s="339"/>
    </row>
    <row r="29" spans="1:16" s="25" customFormat="1" ht="22.5">
      <c r="A29" s="106">
        <f t="shared" si="0"/>
        <v>16</v>
      </c>
      <c r="B29" s="2" t="s">
        <v>549</v>
      </c>
      <c r="C29" s="214" t="s">
        <v>931</v>
      </c>
      <c r="D29" s="13" t="s">
        <v>29</v>
      </c>
      <c r="E29" s="215">
        <v>9</v>
      </c>
      <c r="F29" s="107"/>
      <c r="G29" s="108"/>
      <c r="H29" s="4"/>
      <c r="I29" s="4"/>
      <c r="J29" s="4"/>
      <c r="K29" s="337"/>
      <c r="L29" s="338"/>
      <c r="M29" s="338"/>
      <c r="N29" s="338"/>
      <c r="O29" s="338"/>
      <c r="P29" s="339"/>
    </row>
    <row r="30" spans="1:16" s="25" customFormat="1" ht="22.5">
      <c r="A30" s="106">
        <f t="shared" si="0"/>
        <v>17</v>
      </c>
      <c r="B30" s="2" t="s">
        <v>549</v>
      </c>
      <c r="C30" s="214" t="s">
        <v>932</v>
      </c>
      <c r="D30" s="13" t="s">
        <v>29</v>
      </c>
      <c r="E30" s="215">
        <v>3</v>
      </c>
      <c r="F30" s="107"/>
      <c r="G30" s="108"/>
      <c r="H30" s="4"/>
      <c r="I30" s="4"/>
      <c r="J30" s="4"/>
      <c r="K30" s="337"/>
      <c r="L30" s="338"/>
      <c r="M30" s="338"/>
      <c r="N30" s="338"/>
      <c r="O30" s="338"/>
      <c r="P30" s="339"/>
    </row>
    <row r="31" spans="1:16" s="25" customFormat="1" ht="22.5">
      <c r="A31" s="106">
        <f t="shared" si="0"/>
        <v>18</v>
      </c>
      <c r="B31" s="2" t="s">
        <v>549</v>
      </c>
      <c r="C31" s="214" t="s">
        <v>933</v>
      </c>
      <c r="D31" s="13" t="s">
        <v>29</v>
      </c>
      <c r="E31" s="215">
        <v>6</v>
      </c>
      <c r="F31" s="107"/>
      <c r="G31" s="108"/>
      <c r="H31" s="4"/>
      <c r="I31" s="4"/>
      <c r="J31" s="4"/>
      <c r="K31" s="337"/>
      <c r="L31" s="338"/>
      <c r="M31" s="338"/>
      <c r="N31" s="338"/>
      <c r="O31" s="338"/>
      <c r="P31" s="339"/>
    </row>
    <row r="32" spans="1:16" s="25" customFormat="1" ht="22.5">
      <c r="A32" s="106">
        <f t="shared" si="0"/>
        <v>19</v>
      </c>
      <c r="B32" s="2" t="s">
        <v>549</v>
      </c>
      <c r="C32" s="214" t="s">
        <v>550</v>
      </c>
      <c r="D32" s="13" t="s">
        <v>29</v>
      </c>
      <c r="E32" s="215">
        <v>4</v>
      </c>
      <c r="F32" s="107"/>
      <c r="G32" s="108"/>
      <c r="H32" s="4"/>
      <c r="I32" s="4"/>
      <c r="J32" s="4"/>
      <c r="K32" s="337"/>
      <c r="L32" s="338"/>
      <c r="M32" s="338"/>
      <c r="N32" s="338"/>
      <c r="O32" s="338"/>
      <c r="P32" s="339"/>
    </row>
    <row r="33" spans="1:16" s="25" customFormat="1" ht="22.5">
      <c r="A33" s="106">
        <f t="shared" si="0"/>
        <v>20</v>
      </c>
      <c r="B33" s="2" t="s">
        <v>551</v>
      </c>
      <c r="C33" s="214" t="s">
        <v>934</v>
      </c>
      <c r="D33" s="13" t="s">
        <v>29</v>
      </c>
      <c r="E33" s="215">
        <v>1</v>
      </c>
      <c r="F33" s="107"/>
      <c r="G33" s="108"/>
      <c r="H33" s="4"/>
      <c r="I33" s="4"/>
      <c r="J33" s="4"/>
      <c r="K33" s="337"/>
      <c r="L33" s="338"/>
      <c r="M33" s="338"/>
      <c r="N33" s="338"/>
      <c r="O33" s="338"/>
      <c r="P33" s="339"/>
    </row>
    <row r="34" spans="1:16" s="25" customFormat="1" ht="22.5">
      <c r="A34" s="106">
        <f t="shared" si="0"/>
        <v>21</v>
      </c>
      <c r="B34" s="2" t="s">
        <v>551</v>
      </c>
      <c r="C34" s="214" t="s">
        <v>935</v>
      </c>
      <c r="D34" s="13" t="s">
        <v>29</v>
      </c>
      <c r="E34" s="215">
        <v>2</v>
      </c>
      <c r="F34" s="107"/>
      <c r="G34" s="108"/>
      <c r="H34" s="4"/>
      <c r="I34" s="4"/>
      <c r="J34" s="4"/>
      <c r="K34" s="337"/>
      <c r="L34" s="338"/>
      <c r="M34" s="338"/>
      <c r="N34" s="338"/>
      <c r="O34" s="338"/>
      <c r="P34" s="339"/>
    </row>
    <row r="35" spans="1:16" s="25" customFormat="1" ht="22.5">
      <c r="A35" s="106">
        <f t="shared" si="0"/>
        <v>22</v>
      </c>
      <c r="B35" s="2" t="s">
        <v>551</v>
      </c>
      <c r="C35" s="214" t="s">
        <v>936</v>
      </c>
      <c r="D35" s="13" t="s">
        <v>29</v>
      </c>
      <c r="E35" s="215">
        <v>4</v>
      </c>
      <c r="F35" s="107"/>
      <c r="G35" s="108"/>
      <c r="H35" s="4"/>
      <c r="I35" s="4"/>
      <c r="J35" s="4"/>
      <c r="K35" s="337"/>
      <c r="L35" s="338"/>
      <c r="M35" s="338"/>
      <c r="N35" s="338"/>
      <c r="O35" s="338"/>
      <c r="P35" s="339"/>
    </row>
    <row r="36" spans="1:16" s="25" customFormat="1" ht="22.5">
      <c r="A36" s="106">
        <f t="shared" si="0"/>
        <v>23</v>
      </c>
      <c r="B36" s="2" t="s">
        <v>551</v>
      </c>
      <c r="C36" s="214" t="s">
        <v>937</v>
      </c>
      <c r="D36" s="13" t="s">
        <v>29</v>
      </c>
      <c r="E36" s="215">
        <v>5</v>
      </c>
      <c r="F36" s="107"/>
      <c r="G36" s="108"/>
      <c r="H36" s="4"/>
      <c r="I36" s="4"/>
      <c r="J36" s="4"/>
      <c r="K36" s="337"/>
      <c r="L36" s="338"/>
      <c r="M36" s="338"/>
      <c r="N36" s="338"/>
      <c r="O36" s="338"/>
      <c r="P36" s="339"/>
    </row>
    <row r="37" spans="1:16" s="25" customFormat="1" ht="22.5">
      <c r="A37" s="106">
        <f t="shared" si="0"/>
        <v>24</v>
      </c>
      <c r="B37" s="2" t="s">
        <v>551</v>
      </c>
      <c r="C37" s="214" t="s">
        <v>938</v>
      </c>
      <c r="D37" s="13" t="s">
        <v>29</v>
      </c>
      <c r="E37" s="215">
        <v>3</v>
      </c>
      <c r="F37" s="107"/>
      <c r="G37" s="108"/>
      <c r="H37" s="4"/>
      <c r="I37" s="4"/>
      <c r="J37" s="4"/>
      <c r="K37" s="337"/>
      <c r="L37" s="338"/>
      <c r="M37" s="338"/>
      <c r="N37" s="338"/>
      <c r="O37" s="338"/>
      <c r="P37" s="339"/>
    </row>
    <row r="38" spans="1:16" s="25" customFormat="1" ht="22.5">
      <c r="A38" s="106">
        <f t="shared" si="0"/>
        <v>25</v>
      </c>
      <c r="B38" s="2" t="s">
        <v>551</v>
      </c>
      <c r="C38" s="214" t="s">
        <v>939</v>
      </c>
      <c r="D38" s="13" t="s">
        <v>29</v>
      </c>
      <c r="E38" s="215">
        <v>1</v>
      </c>
      <c r="F38" s="107"/>
      <c r="G38" s="108"/>
      <c r="H38" s="4"/>
      <c r="I38" s="4"/>
      <c r="J38" s="4"/>
      <c r="K38" s="337"/>
      <c r="L38" s="338"/>
      <c r="M38" s="338"/>
      <c r="N38" s="338"/>
      <c r="O38" s="338"/>
      <c r="P38" s="339"/>
    </row>
    <row r="39" spans="1:16" s="25" customFormat="1" ht="22.5">
      <c r="A39" s="106">
        <f t="shared" si="0"/>
        <v>26</v>
      </c>
      <c r="B39" s="2" t="s">
        <v>551</v>
      </c>
      <c r="C39" s="214" t="s">
        <v>940</v>
      </c>
      <c r="D39" s="13" t="s">
        <v>29</v>
      </c>
      <c r="E39" s="215">
        <v>2</v>
      </c>
      <c r="F39" s="107"/>
      <c r="G39" s="108"/>
      <c r="H39" s="4"/>
      <c r="I39" s="4"/>
      <c r="J39" s="4"/>
      <c r="K39" s="337"/>
      <c r="L39" s="338"/>
      <c r="M39" s="338"/>
      <c r="N39" s="338"/>
      <c r="O39" s="338"/>
      <c r="P39" s="339"/>
    </row>
    <row r="40" spans="1:16" s="25" customFormat="1" ht="33.75">
      <c r="A40" s="106">
        <f t="shared" si="0"/>
        <v>27</v>
      </c>
      <c r="B40" s="2" t="s">
        <v>551</v>
      </c>
      <c r="C40" s="214" t="s">
        <v>941</v>
      </c>
      <c r="D40" s="13" t="s">
        <v>29</v>
      </c>
      <c r="E40" s="215">
        <v>1</v>
      </c>
      <c r="F40" s="107"/>
      <c r="G40" s="108"/>
      <c r="H40" s="4"/>
      <c r="I40" s="4"/>
      <c r="J40" s="4"/>
      <c r="K40" s="337"/>
      <c r="L40" s="338"/>
      <c r="M40" s="338"/>
      <c r="N40" s="338"/>
      <c r="O40" s="338"/>
      <c r="P40" s="339"/>
    </row>
    <row r="41" spans="1:16" s="25" customFormat="1" ht="33.75">
      <c r="A41" s="106">
        <f t="shared" si="0"/>
        <v>28</v>
      </c>
      <c r="B41" s="2" t="s">
        <v>551</v>
      </c>
      <c r="C41" s="214" t="s">
        <v>942</v>
      </c>
      <c r="D41" s="13" t="s">
        <v>29</v>
      </c>
      <c r="E41" s="215">
        <v>2</v>
      </c>
      <c r="F41" s="107"/>
      <c r="G41" s="108"/>
      <c r="H41" s="4"/>
      <c r="I41" s="4"/>
      <c r="J41" s="4"/>
      <c r="K41" s="337"/>
      <c r="L41" s="338"/>
      <c r="M41" s="338"/>
      <c r="N41" s="338"/>
      <c r="O41" s="338"/>
      <c r="P41" s="339"/>
    </row>
    <row r="42" spans="1:16" s="25" customFormat="1" ht="33.75">
      <c r="A42" s="106">
        <f t="shared" si="0"/>
        <v>29</v>
      </c>
      <c r="B42" s="2" t="s">
        <v>551</v>
      </c>
      <c r="C42" s="214" t="s">
        <v>943</v>
      </c>
      <c r="D42" s="13" t="s">
        <v>29</v>
      </c>
      <c r="E42" s="215">
        <v>5</v>
      </c>
      <c r="F42" s="107"/>
      <c r="G42" s="108"/>
      <c r="H42" s="4"/>
      <c r="I42" s="4"/>
      <c r="J42" s="4"/>
      <c r="K42" s="337"/>
      <c r="L42" s="338"/>
      <c r="M42" s="338"/>
      <c r="N42" s="338"/>
      <c r="O42" s="338"/>
      <c r="P42" s="339"/>
    </row>
    <row r="43" spans="1:16" s="25" customFormat="1" ht="22.5">
      <c r="A43" s="106">
        <f t="shared" si="0"/>
        <v>30</v>
      </c>
      <c r="B43" s="2" t="s">
        <v>552</v>
      </c>
      <c r="C43" s="214" t="s">
        <v>944</v>
      </c>
      <c r="D43" s="13" t="s">
        <v>29</v>
      </c>
      <c r="E43" s="215">
        <v>1</v>
      </c>
      <c r="F43" s="107"/>
      <c r="G43" s="108"/>
      <c r="H43" s="4"/>
      <c r="I43" s="4"/>
      <c r="J43" s="4"/>
      <c r="K43" s="337"/>
      <c r="L43" s="338"/>
      <c r="M43" s="338"/>
      <c r="N43" s="338"/>
      <c r="O43" s="338"/>
      <c r="P43" s="339"/>
    </row>
    <row r="44" spans="1:16" s="25" customFormat="1" ht="22.5">
      <c r="A44" s="106">
        <f t="shared" si="0"/>
        <v>31</v>
      </c>
      <c r="B44" s="2" t="s">
        <v>552</v>
      </c>
      <c r="C44" s="214" t="s">
        <v>948</v>
      </c>
      <c r="D44" s="13" t="s">
        <v>29</v>
      </c>
      <c r="E44" s="215">
        <v>1</v>
      </c>
      <c r="F44" s="107"/>
      <c r="G44" s="108"/>
      <c r="H44" s="4"/>
      <c r="I44" s="4"/>
      <c r="J44" s="4"/>
      <c r="K44" s="337"/>
      <c r="L44" s="338"/>
      <c r="M44" s="338"/>
      <c r="N44" s="338"/>
      <c r="O44" s="338"/>
      <c r="P44" s="339"/>
    </row>
    <row r="45" spans="1:16" s="25" customFormat="1" ht="22.5">
      <c r="A45" s="106">
        <f t="shared" si="0"/>
        <v>32</v>
      </c>
      <c r="B45" s="2" t="s">
        <v>552</v>
      </c>
      <c r="C45" s="214" t="s">
        <v>949</v>
      </c>
      <c r="D45" s="13" t="s">
        <v>29</v>
      </c>
      <c r="E45" s="215">
        <v>1</v>
      </c>
      <c r="F45" s="107"/>
      <c r="G45" s="108"/>
      <c r="H45" s="4"/>
      <c r="I45" s="4"/>
      <c r="J45" s="4"/>
      <c r="K45" s="337"/>
      <c r="L45" s="338"/>
      <c r="M45" s="338"/>
      <c r="N45" s="338"/>
      <c r="O45" s="338"/>
      <c r="P45" s="339"/>
    </row>
    <row r="46" spans="1:16" s="25" customFormat="1" ht="22.5">
      <c r="A46" s="106">
        <f t="shared" si="0"/>
        <v>33</v>
      </c>
      <c r="B46" s="2" t="s">
        <v>552</v>
      </c>
      <c r="C46" s="214" t="s">
        <v>950</v>
      </c>
      <c r="D46" s="13" t="s">
        <v>29</v>
      </c>
      <c r="E46" s="215">
        <v>2</v>
      </c>
      <c r="F46" s="107"/>
      <c r="G46" s="108"/>
      <c r="H46" s="4"/>
      <c r="I46" s="4"/>
      <c r="J46" s="4"/>
      <c r="K46" s="337"/>
      <c r="L46" s="338"/>
      <c r="M46" s="338"/>
      <c r="N46" s="338"/>
      <c r="O46" s="338"/>
      <c r="P46" s="339"/>
    </row>
    <row r="47" spans="1:16" s="25" customFormat="1" ht="22.5">
      <c r="A47" s="106">
        <f t="shared" si="0"/>
        <v>34</v>
      </c>
      <c r="B47" s="2" t="s">
        <v>553</v>
      </c>
      <c r="C47" s="214" t="s">
        <v>951</v>
      </c>
      <c r="D47" s="13" t="s">
        <v>29</v>
      </c>
      <c r="E47" s="215">
        <v>1</v>
      </c>
      <c r="F47" s="107"/>
      <c r="G47" s="108"/>
      <c r="H47" s="4"/>
      <c r="I47" s="4"/>
      <c r="J47" s="4"/>
      <c r="K47" s="337"/>
      <c r="L47" s="338"/>
      <c r="M47" s="338"/>
      <c r="N47" s="338"/>
      <c r="O47" s="338"/>
      <c r="P47" s="339"/>
    </row>
    <row r="48" spans="1:16" s="25" customFormat="1" ht="22.5">
      <c r="A48" s="106">
        <f t="shared" si="0"/>
        <v>35</v>
      </c>
      <c r="B48" s="2" t="s">
        <v>553</v>
      </c>
      <c r="C48" s="214" t="s">
        <v>934</v>
      </c>
      <c r="D48" s="13" t="s">
        <v>29</v>
      </c>
      <c r="E48" s="215">
        <v>1</v>
      </c>
      <c r="F48" s="107"/>
      <c r="G48" s="108"/>
      <c r="H48" s="4"/>
      <c r="I48" s="4"/>
      <c r="J48" s="4"/>
      <c r="K48" s="337"/>
      <c r="L48" s="338"/>
      <c r="M48" s="338"/>
      <c r="N48" s="338"/>
      <c r="O48" s="338"/>
      <c r="P48" s="339"/>
    </row>
    <row r="49" spans="1:16" s="25" customFormat="1" ht="22.5">
      <c r="A49" s="106">
        <f t="shared" si="0"/>
        <v>36</v>
      </c>
      <c r="B49" s="2" t="s">
        <v>553</v>
      </c>
      <c r="C49" s="214" t="s">
        <v>935</v>
      </c>
      <c r="D49" s="13" t="s">
        <v>29</v>
      </c>
      <c r="E49" s="215">
        <v>1</v>
      </c>
      <c r="F49" s="107"/>
      <c r="G49" s="108"/>
      <c r="H49" s="4"/>
      <c r="I49" s="4"/>
      <c r="J49" s="4"/>
      <c r="K49" s="337"/>
      <c r="L49" s="338"/>
      <c r="M49" s="338"/>
      <c r="N49" s="338"/>
      <c r="O49" s="338"/>
      <c r="P49" s="339"/>
    </row>
    <row r="50" spans="1:16" s="25" customFormat="1" ht="22.5">
      <c r="A50" s="106">
        <f t="shared" si="0"/>
        <v>37</v>
      </c>
      <c r="B50" s="2" t="s">
        <v>553</v>
      </c>
      <c r="C50" s="214" t="s">
        <v>936</v>
      </c>
      <c r="D50" s="13" t="s">
        <v>29</v>
      </c>
      <c r="E50" s="215">
        <v>1</v>
      </c>
      <c r="F50" s="107"/>
      <c r="G50" s="108"/>
      <c r="H50" s="4"/>
      <c r="I50" s="4"/>
      <c r="J50" s="4"/>
      <c r="K50" s="337"/>
      <c r="L50" s="338"/>
      <c r="M50" s="338"/>
      <c r="N50" s="338"/>
      <c r="O50" s="338"/>
      <c r="P50" s="339"/>
    </row>
    <row r="51" spans="1:16" s="25" customFormat="1" ht="22.5">
      <c r="A51" s="106">
        <f t="shared" si="0"/>
        <v>38</v>
      </c>
      <c r="B51" s="2" t="s">
        <v>553</v>
      </c>
      <c r="C51" s="214" t="s">
        <v>944</v>
      </c>
      <c r="D51" s="13" t="s">
        <v>29</v>
      </c>
      <c r="E51" s="215">
        <v>2</v>
      </c>
      <c r="F51" s="107"/>
      <c r="G51" s="108"/>
      <c r="H51" s="4"/>
      <c r="I51" s="4"/>
      <c r="J51" s="4"/>
      <c r="K51" s="337"/>
      <c r="L51" s="338"/>
      <c r="M51" s="338"/>
      <c r="N51" s="338"/>
      <c r="O51" s="338"/>
      <c r="P51" s="339"/>
    </row>
    <row r="52" spans="1:16" s="25" customFormat="1" ht="22.5">
      <c r="A52" s="106">
        <f t="shared" si="0"/>
        <v>39</v>
      </c>
      <c r="B52" s="2" t="s">
        <v>553</v>
      </c>
      <c r="C52" s="214" t="s">
        <v>938</v>
      </c>
      <c r="D52" s="13" t="s">
        <v>29</v>
      </c>
      <c r="E52" s="215">
        <v>1</v>
      </c>
      <c r="F52" s="107"/>
      <c r="G52" s="108"/>
      <c r="H52" s="4"/>
      <c r="I52" s="4"/>
      <c r="J52" s="4"/>
      <c r="K52" s="337"/>
      <c r="L52" s="338"/>
      <c r="M52" s="338"/>
      <c r="N52" s="338"/>
      <c r="O52" s="338"/>
      <c r="P52" s="339"/>
    </row>
    <row r="53" spans="1:16" s="25" customFormat="1" ht="22.5">
      <c r="A53" s="106">
        <f t="shared" si="0"/>
        <v>40</v>
      </c>
      <c r="B53" s="2" t="s">
        <v>553</v>
      </c>
      <c r="C53" s="214" t="s">
        <v>948</v>
      </c>
      <c r="D53" s="13" t="s">
        <v>29</v>
      </c>
      <c r="E53" s="215">
        <v>2</v>
      </c>
      <c r="F53" s="107"/>
      <c r="G53" s="108"/>
      <c r="H53" s="4"/>
      <c r="I53" s="4"/>
      <c r="J53" s="4"/>
      <c r="K53" s="337"/>
      <c r="L53" s="338"/>
      <c r="M53" s="338"/>
      <c r="N53" s="338"/>
      <c r="O53" s="338"/>
      <c r="P53" s="339"/>
    </row>
    <row r="54" spans="1:16" s="25" customFormat="1" ht="22.5">
      <c r="A54" s="106">
        <f t="shared" si="0"/>
        <v>41</v>
      </c>
      <c r="B54" s="2" t="s">
        <v>553</v>
      </c>
      <c r="C54" s="214" t="s">
        <v>949</v>
      </c>
      <c r="D54" s="13" t="s">
        <v>29</v>
      </c>
      <c r="E54" s="215">
        <v>3</v>
      </c>
      <c r="F54" s="107"/>
      <c r="G54" s="108"/>
      <c r="H54" s="4"/>
      <c r="I54" s="4"/>
      <c r="J54" s="4"/>
      <c r="K54" s="337"/>
      <c r="L54" s="338"/>
      <c r="M54" s="338"/>
      <c r="N54" s="338"/>
      <c r="O54" s="338"/>
      <c r="P54" s="339"/>
    </row>
    <row r="55" spans="1:16" s="25" customFormat="1" ht="22.5">
      <c r="A55" s="106">
        <f t="shared" si="0"/>
        <v>42</v>
      </c>
      <c r="B55" s="2" t="s">
        <v>553</v>
      </c>
      <c r="C55" s="214" t="s">
        <v>940</v>
      </c>
      <c r="D55" s="13" t="s">
        <v>29</v>
      </c>
      <c r="E55" s="215">
        <v>2</v>
      </c>
      <c r="F55" s="107"/>
      <c r="G55" s="108"/>
      <c r="H55" s="4"/>
      <c r="I55" s="4"/>
      <c r="J55" s="4"/>
      <c r="K55" s="337"/>
      <c r="L55" s="338"/>
      <c r="M55" s="338"/>
      <c r="N55" s="338"/>
      <c r="O55" s="338"/>
      <c r="P55" s="339"/>
    </row>
    <row r="56" spans="1:16" s="25" customFormat="1" ht="33.75">
      <c r="A56" s="106">
        <f t="shared" si="0"/>
        <v>43</v>
      </c>
      <c r="B56" s="2" t="s">
        <v>553</v>
      </c>
      <c r="C56" s="214" t="s">
        <v>945</v>
      </c>
      <c r="D56" s="13" t="s">
        <v>29</v>
      </c>
      <c r="E56" s="215">
        <v>6</v>
      </c>
      <c r="F56" s="107"/>
      <c r="G56" s="108"/>
      <c r="H56" s="4"/>
      <c r="I56" s="4"/>
      <c r="J56" s="4"/>
      <c r="K56" s="337"/>
      <c r="L56" s="338"/>
      <c r="M56" s="338"/>
      <c r="N56" s="338"/>
      <c r="O56" s="338"/>
      <c r="P56" s="339"/>
    </row>
    <row r="57" spans="1:16" s="25" customFormat="1" ht="33.75">
      <c r="A57" s="106">
        <f t="shared" si="0"/>
        <v>44</v>
      </c>
      <c r="B57" s="2" t="s">
        <v>553</v>
      </c>
      <c r="C57" s="214" t="s">
        <v>946</v>
      </c>
      <c r="D57" s="13" t="s">
        <v>29</v>
      </c>
      <c r="E57" s="215">
        <v>1</v>
      </c>
      <c r="F57" s="107"/>
      <c r="G57" s="108"/>
      <c r="H57" s="4"/>
      <c r="I57" s="4"/>
      <c r="J57" s="4"/>
      <c r="K57" s="337"/>
      <c r="L57" s="338"/>
      <c r="M57" s="338"/>
      <c r="N57" s="338"/>
      <c r="O57" s="338"/>
      <c r="P57" s="339"/>
    </row>
    <row r="58" spans="1:16" s="25" customFormat="1" ht="33.75">
      <c r="A58" s="106">
        <f t="shared" si="0"/>
        <v>45</v>
      </c>
      <c r="B58" s="2" t="s">
        <v>553</v>
      </c>
      <c r="C58" s="214" t="s">
        <v>947</v>
      </c>
      <c r="D58" s="13" t="s">
        <v>29</v>
      </c>
      <c r="E58" s="215">
        <v>1</v>
      </c>
      <c r="F58" s="107"/>
      <c r="G58" s="108"/>
      <c r="H58" s="4"/>
      <c r="I58" s="4"/>
      <c r="J58" s="4"/>
      <c r="K58" s="337"/>
      <c r="L58" s="338"/>
      <c r="M58" s="338"/>
      <c r="N58" s="338"/>
      <c r="O58" s="338"/>
      <c r="P58" s="339"/>
    </row>
    <row r="59" spans="1:16" s="25" customFormat="1" ht="33.75">
      <c r="A59" s="106">
        <f t="shared" si="0"/>
        <v>46</v>
      </c>
      <c r="B59" s="2" t="s">
        <v>553</v>
      </c>
      <c r="C59" s="214" t="s">
        <v>554</v>
      </c>
      <c r="D59" s="13" t="s">
        <v>29</v>
      </c>
      <c r="E59" s="215">
        <v>1</v>
      </c>
      <c r="F59" s="107"/>
      <c r="G59" s="108"/>
      <c r="H59" s="4"/>
      <c r="I59" s="4"/>
      <c r="J59" s="4"/>
      <c r="K59" s="337"/>
      <c r="L59" s="338"/>
      <c r="M59" s="338"/>
      <c r="N59" s="338"/>
      <c r="O59" s="338"/>
      <c r="P59" s="339"/>
    </row>
    <row r="60" spans="1:16" s="25" customFormat="1" ht="45">
      <c r="A60" s="106">
        <f t="shared" si="0"/>
        <v>47</v>
      </c>
      <c r="B60" s="2" t="s">
        <v>555</v>
      </c>
      <c r="C60" s="214" t="s">
        <v>954</v>
      </c>
      <c r="D60" s="13" t="s">
        <v>29</v>
      </c>
      <c r="E60" s="215">
        <v>2</v>
      </c>
      <c r="F60" s="107"/>
      <c r="G60" s="108"/>
      <c r="H60" s="4"/>
      <c r="I60" s="4"/>
      <c r="J60" s="4"/>
      <c r="K60" s="337"/>
      <c r="L60" s="338"/>
      <c r="M60" s="338"/>
      <c r="N60" s="338"/>
      <c r="O60" s="338"/>
      <c r="P60" s="339"/>
    </row>
    <row r="61" spans="1:16" s="25" customFormat="1" ht="45">
      <c r="A61" s="106">
        <f t="shared" si="0"/>
        <v>48</v>
      </c>
      <c r="B61" s="2" t="s">
        <v>555</v>
      </c>
      <c r="C61" s="214" t="s">
        <v>955</v>
      </c>
      <c r="D61" s="13" t="s">
        <v>29</v>
      </c>
      <c r="E61" s="215">
        <v>1</v>
      </c>
      <c r="F61" s="107"/>
      <c r="G61" s="108"/>
      <c r="H61" s="4"/>
      <c r="I61" s="4"/>
      <c r="J61" s="4"/>
      <c r="K61" s="337"/>
      <c r="L61" s="338"/>
      <c r="M61" s="338"/>
      <c r="N61" s="338"/>
      <c r="O61" s="338"/>
      <c r="P61" s="339"/>
    </row>
    <row r="62" spans="1:16" s="25" customFormat="1" ht="45">
      <c r="A62" s="106">
        <f t="shared" si="0"/>
        <v>49</v>
      </c>
      <c r="B62" s="2" t="s">
        <v>556</v>
      </c>
      <c r="C62" s="214" t="s">
        <v>956</v>
      </c>
      <c r="D62" s="13" t="s">
        <v>29</v>
      </c>
      <c r="E62" s="215">
        <v>2</v>
      </c>
      <c r="F62" s="107"/>
      <c r="G62" s="108"/>
      <c r="H62" s="4"/>
      <c r="I62" s="4"/>
      <c r="J62" s="4"/>
      <c r="K62" s="337"/>
      <c r="L62" s="338"/>
      <c r="M62" s="338"/>
      <c r="N62" s="338"/>
      <c r="O62" s="338"/>
      <c r="P62" s="339"/>
    </row>
    <row r="63" spans="1:16" s="25" customFormat="1" ht="45">
      <c r="A63" s="106">
        <f t="shared" si="0"/>
        <v>50</v>
      </c>
      <c r="B63" s="2" t="s">
        <v>556</v>
      </c>
      <c r="C63" s="214" t="s">
        <v>957</v>
      </c>
      <c r="D63" s="13" t="s">
        <v>29</v>
      </c>
      <c r="E63" s="215">
        <v>6</v>
      </c>
      <c r="F63" s="107"/>
      <c r="G63" s="108"/>
      <c r="H63" s="4"/>
      <c r="I63" s="4"/>
      <c r="J63" s="4"/>
      <c r="K63" s="337"/>
      <c r="L63" s="338"/>
      <c r="M63" s="338"/>
      <c r="N63" s="338"/>
      <c r="O63" s="338"/>
      <c r="P63" s="339"/>
    </row>
    <row r="64" spans="1:16" s="25" customFormat="1" ht="56.25">
      <c r="A64" s="106">
        <f t="shared" si="0"/>
        <v>51</v>
      </c>
      <c r="B64" s="2" t="s">
        <v>557</v>
      </c>
      <c r="C64" s="214" t="s">
        <v>958</v>
      </c>
      <c r="D64" s="13" t="s">
        <v>29</v>
      </c>
      <c r="E64" s="215">
        <v>6</v>
      </c>
      <c r="F64" s="107"/>
      <c r="G64" s="108"/>
      <c r="H64" s="4"/>
      <c r="I64" s="4"/>
      <c r="J64" s="4"/>
      <c r="K64" s="337"/>
      <c r="L64" s="338"/>
      <c r="M64" s="338"/>
      <c r="N64" s="338"/>
      <c r="O64" s="338"/>
      <c r="P64" s="339"/>
    </row>
    <row r="65" spans="1:16" s="25" customFormat="1" ht="56.25">
      <c r="A65" s="106">
        <f t="shared" si="0"/>
        <v>52</v>
      </c>
      <c r="B65" s="2" t="s">
        <v>1346</v>
      </c>
      <c r="C65" s="214" t="s">
        <v>959</v>
      </c>
      <c r="D65" s="13" t="s">
        <v>29</v>
      </c>
      <c r="E65" s="215">
        <v>1</v>
      </c>
      <c r="F65" s="107"/>
      <c r="G65" s="108"/>
      <c r="H65" s="4"/>
      <c r="I65" s="4"/>
      <c r="J65" s="4"/>
      <c r="K65" s="337"/>
      <c r="L65" s="338"/>
      <c r="M65" s="338"/>
      <c r="N65" s="338"/>
      <c r="O65" s="338"/>
      <c r="P65" s="339"/>
    </row>
    <row r="66" spans="1:16" s="25" customFormat="1" ht="45">
      <c r="A66" s="106">
        <f t="shared" si="0"/>
        <v>53</v>
      </c>
      <c r="B66" s="2" t="s">
        <v>558</v>
      </c>
      <c r="C66" s="214" t="s">
        <v>960</v>
      </c>
      <c r="D66" s="13" t="s">
        <v>29</v>
      </c>
      <c r="E66" s="215">
        <v>6</v>
      </c>
      <c r="F66" s="107"/>
      <c r="G66" s="108"/>
      <c r="H66" s="4"/>
      <c r="I66" s="4"/>
      <c r="J66" s="4"/>
      <c r="K66" s="337"/>
      <c r="L66" s="338"/>
      <c r="M66" s="338"/>
      <c r="N66" s="338"/>
      <c r="O66" s="338"/>
      <c r="P66" s="339"/>
    </row>
    <row r="67" spans="1:16" s="25" customFormat="1" ht="45">
      <c r="A67" s="106">
        <f t="shared" si="0"/>
        <v>54</v>
      </c>
      <c r="B67" s="2" t="s">
        <v>558</v>
      </c>
      <c r="C67" s="214" t="s">
        <v>961</v>
      </c>
      <c r="D67" s="13" t="s">
        <v>29</v>
      </c>
      <c r="E67" s="215">
        <v>2</v>
      </c>
      <c r="F67" s="107"/>
      <c r="G67" s="108"/>
      <c r="H67" s="4"/>
      <c r="I67" s="4"/>
      <c r="J67" s="4"/>
      <c r="K67" s="337"/>
      <c r="L67" s="338"/>
      <c r="M67" s="338"/>
      <c r="N67" s="338"/>
      <c r="O67" s="338"/>
      <c r="P67" s="339"/>
    </row>
    <row r="68" spans="1:16" s="25" customFormat="1" ht="56.25">
      <c r="A68" s="106">
        <f t="shared" si="0"/>
        <v>55</v>
      </c>
      <c r="B68" s="2" t="s">
        <v>559</v>
      </c>
      <c r="C68" s="214" t="s">
        <v>958</v>
      </c>
      <c r="D68" s="13" t="s">
        <v>29</v>
      </c>
      <c r="E68" s="215">
        <v>7</v>
      </c>
      <c r="F68" s="107"/>
      <c r="G68" s="108"/>
      <c r="H68" s="4"/>
      <c r="I68" s="4"/>
      <c r="J68" s="4"/>
      <c r="K68" s="337"/>
      <c r="L68" s="338"/>
      <c r="M68" s="338"/>
      <c r="N68" s="338"/>
      <c r="O68" s="338"/>
      <c r="P68" s="339"/>
    </row>
    <row r="69" spans="1:16" s="25" customFormat="1" ht="45">
      <c r="A69" s="106">
        <f t="shared" si="0"/>
        <v>56</v>
      </c>
      <c r="B69" s="2" t="s">
        <v>560</v>
      </c>
      <c r="C69" s="214" t="s">
        <v>962</v>
      </c>
      <c r="D69" s="13" t="s">
        <v>29</v>
      </c>
      <c r="E69" s="215">
        <v>11</v>
      </c>
      <c r="F69" s="107"/>
      <c r="G69" s="108"/>
      <c r="H69" s="4"/>
      <c r="I69" s="4"/>
      <c r="J69" s="4"/>
      <c r="K69" s="337"/>
      <c r="L69" s="338"/>
      <c r="M69" s="338"/>
      <c r="N69" s="338"/>
      <c r="O69" s="338"/>
      <c r="P69" s="339"/>
    </row>
    <row r="70" spans="1:16" s="25" customFormat="1" ht="45">
      <c r="A70" s="106">
        <f t="shared" si="0"/>
        <v>57</v>
      </c>
      <c r="B70" s="2" t="s">
        <v>560</v>
      </c>
      <c r="C70" s="214" t="s">
        <v>963</v>
      </c>
      <c r="D70" s="13" t="s">
        <v>29</v>
      </c>
      <c r="E70" s="215">
        <v>4</v>
      </c>
      <c r="F70" s="107"/>
      <c r="G70" s="108"/>
      <c r="H70" s="4"/>
      <c r="I70" s="4"/>
      <c r="J70" s="4"/>
      <c r="K70" s="337"/>
      <c r="L70" s="338"/>
      <c r="M70" s="338"/>
      <c r="N70" s="338"/>
      <c r="O70" s="338"/>
      <c r="P70" s="339"/>
    </row>
    <row r="71" spans="1:16" s="25" customFormat="1" ht="45">
      <c r="A71" s="106">
        <f t="shared" si="0"/>
        <v>58</v>
      </c>
      <c r="B71" s="2" t="s">
        <v>560</v>
      </c>
      <c r="C71" s="214" t="s">
        <v>964</v>
      </c>
      <c r="D71" s="13" t="s">
        <v>29</v>
      </c>
      <c r="E71" s="215">
        <v>5</v>
      </c>
      <c r="F71" s="107"/>
      <c r="G71" s="108"/>
      <c r="H71" s="4"/>
      <c r="I71" s="4"/>
      <c r="J71" s="4"/>
      <c r="K71" s="337"/>
      <c r="L71" s="338"/>
      <c r="M71" s="338"/>
      <c r="N71" s="338"/>
      <c r="O71" s="338"/>
      <c r="P71" s="339"/>
    </row>
    <row r="72" spans="1:16" s="25" customFormat="1" ht="45">
      <c r="A72" s="106">
        <f t="shared" si="0"/>
        <v>59</v>
      </c>
      <c r="B72" s="2" t="s">
        <v>560</v>
      </c>
      <c r="C72" s="214" t="s">
        <v>965</v>
      </c>
      <c r="D72" s="13" t="s">
        <v>29</v>
      </c>
      <c r="E72" s="215">
        <v>4</v>
      </c>
      <c r="F72" s="107"/>
      <c r="G72" s="108"/>
      <c r="H72" s="4"/>
      <c r="I72" s="4"/>
      <c r="J72" s="4"/>
      <c r="K72" s="337"/>
      <c r="L72" s="338"/>
      <c r="M72" s="338"/>
      <c r="N72" s="338"/>
      <c r="O72" s="338"/>
      <c r="P72" s="339"/>
    </row>
    <row r="73" spans="1:16" s="25" customFormat="1" ht="45">
      <c r="A73" s="106">
        <f t="shared" si="0"/>
        <v>60</v>
      </c>
      <c r="B73" s="2" t="s">
        <v>560</v>
      </c>
      <c r="C73" s="214" t="s">
        <v>966</v>
      </c>
      <c r="D73" s="13" t="s">
        <v>29</v>
      </c>
      <c r="E73" s="215">
        <v>2</v>
      </c>
      <c r="F73" s="107"/>
      <c r="G73" s="108"/>
      <c r="H73" s="4"/>
      <c r="I73" s="4"/>
      <c r="J73" s="4"/>
      <c r="K73" s="337"/>
      <c r="L73" s="338"/>
      <c r="M73" s="338"/>
      <c r="N73" s="338"/>
      <c r="O73" s="338"/>
      <c r="P73" s="339"/>
    </row>
    <row r="74" spans="1:16" s="25" customFormat="1" ht="45">
      <c r="A74" s="106">
        <f t="shared" si="0"/>
        <v>61</v>
      </c>
      <c r="B74" s="2" t="s">
        <v>561</v>
      </c>
      <c r="C74" s="214" t="s">
        <v>967</v>
      </c>
      <c r="D74" s="13" t="s">
        <v>29</v>
      </c>
      <c r="E74" s="215">
        <v>4</v>
      </c>
      <c r="F74" s="107"/>
      <c r="G74" s="108"/>
      <c r="H74" s="4"/>
      <c r="I74" s="4"/>
      <c r="J74" s="4"/>
      <c r="K74" s="337"/>
      <c r="L74" s="338"/>
      <c r="M74" s="338"/>
      <c r="N74" s="338"/>
      <c r="O74" s="338"/>
      <c r="P74" s="339"/>
    </row>
    <row r="75" spans="1:16" s="25" customFormat="1" ht="56.25">
      <c r="A75" s="106">
        <f t="shared" si="0"/>
        <v>62</v>
      </c>
      <c r="B75" s="2" t="s">
        <v>561</v>
      </c>
      <c r="C75" s="214" t="s">
        <v>968</v>
      </c>
      <c r="D75" s="13" t="s">
        <v>29</v>
      </c>
      <c r="E75" s="215">
        <v>1</v>
      </c>
      <c r="F75" s="107"/>
      <c r="G75" s="108"/>
      <c r="H75" s="4"/>
      <c r="I75" s="4"/>
      <c r="J75" s="4"/>
      <c r="K75" s="337"/>
      <c r="L75" s="338"/>
      <c r="M75" s="338"/>
      <c r="N75" s="338"/>
      <c r="O75" s="338"/>
      <c r="P75" s="339"/>
    </row>
    <row r="76" spans="1:16" s="25" customFormat="1" ht="56.25">
      <c r="A76" s="106">
        <f t="shared" si="0"/>
        <v>63</v>
      </c>
      <c r="B76" s="2" t="s">
        <v>562</v>
      </c>
      <c r="C76" s="214" t="s">
        <v>969</v>
      </c>
      <c r="D76" s="13" t="s">
        <v>29</v>
      </c>
      <c r="E76" s="215">
        <v>2</v>
      </c>
      <c r="F76" s="107"/>
      <c r="G76" s="108"/>
      <c r="H76" s="4"/>
      <c r="I76" s="4"/>
      <c r="J76" s="4"/>
      <c r="K76" s="337"/>
      <c r="L76" s="338"/>
      <c r="M76" s="338"/>
      <c r="N76" s="338"/>
      <c r="O76" s="338"/>
      <c r="P76" s="339"/>
    </row>
    <row r="77" spans="1:16" s="25" customFormat="1" ht="56.25">
      <c r="A77" s="106">
        <f t="shared" si="0"/>
        <v>64</v>
      </c>
      <c r="B77" s="2" t="s">
        <v>562</v>
      </c>
      <c r="C77" s="214" t="s">
        <v>970</v>
      </c>
      <c r="D77" s="13" t="s">
        <v>29</v>
      </c>
      <c r="E77" s="215">
        <v>2</v>
      </c>
      <c r="F77" s="107"/>
      <c r="G77" s="108"/>
      <c r="H77" s="4"/>
      <c r="I77" s="4"/>
      <c r="J77" s="4"/>
      <c r="K77" s="337"/>
      <c r="L77" s="338"/>
      <c r="M77" s="338"/>
      <c r="N77" s="338"/>
      <c r="O77" s="338"/>
      <c r="P77" s="339"/>
    </row>
    <row r="78" spans="1:16" s="25" customFormat="1" ht="56.25">
      <c r="A78" s="106">
        <f t="shared" ref="A78:A104" si="1">A77+1</f>
        <v>65</v>
      </c>
      <c r="B78" s="2" t="s">
        <v>1345</v>
      </c>
      <c r="C78" s="214" t="s">
        <v>971</v>
      </c>
      <c r="D78" s="13" t="s">
        <v>29</v>
      </c>
      <c r="E78" s="215">
        <v>2</v>
      </c>
      <c r="F78" s="107"/>
      <c r="G78" s="108"/>
      <c r="H78" s="4"/>
      <c r="I78" s="4"/>
      <c r="J78" s="4"/>
      <c r="K78" s="337"/>
      <c r="L78" s="338"/>
      <c r="M78" s="338"/>
      <c r="N78" s="338"/>
      <c r="O78" s="338"/>
      <c r="P78" s="339"/>
    </row>
    <row r="79" spans="1:16" s="25" customFormat="1" ht="22.5">
      <c r="A79" s="106">
        <f t="shared" si="1"/>
        <v>66</v>
      </c>
      <c r="B79" s="2" t="s">
        <v>563</v>
      </c>
      <c r="C79" s="214" t="s">
        <v>564</v>
      </c>
      <c r="D79" s="13" t="s">
        <v>14</v>
      </c>
      <c r="E79" s="9">
        <v>32</v>
      </c>
      <c r="F79" s="107"/>
      <c r="G79" s="108"/>
      <c r="H79" s="4"/>
      <c r="I79" s="4"/>
      <c r="J79" s="4"/>
      <c r="K79" s="337"/>
      <c r="L79" s="338"/>
      <c r="M79" s="338"/>
      <c r="N79" s="338"/>
      <c r="O79" s="338"/>
      <c r="P79" s="339"/>
    </row>
    <row r="80" spans="1:16" s="25" customFormat="1" ht="45">
      <c r="A80" s="106">
        <f t="shared" si="1"/>
        <v>67</v>
      </c>
      <c r="B80" s="2" t="s">
        <v>565</v>
      </c>
      <c r="C80" s="214" t="s">
        <v>972</v>
      </c>
      <c r="D80" s="13" t="s">
        <v>29</v>
      </c>
      <c r="E80" s="215">
        <v>1</v>
      </c>
      <c r="F80" s="107"/>
      <c r="G80" s="108"/>
      <c r="H80" s="4"/>
      <c r="I80" s="4"/>
      <c r="J80" s="4"/>
      <c r="K80" s="337"/>
      <c r="L80" s="338"/>
      <c r="M80" s="338"/>
      <c r="N80" s="338"/>
      <c r="O80" s="338"/>
      <c r="P80" s="339"/>
    </row>
    <row r="81" spans="1:16" s="25" customFormat="1" ht="56.25">
      <c r="A81" s="106">
        <f t="shared" si="1"/>
        <v>68</v>
      </c>
      <c r="B81" s="2" t="s">
        <v>566</v>
      </c>
      <c r="C81" s="214" t="s">
        <v>973</v>
      </c>
      <c r="D81" s="13" t="s">
        <v>29</v>
      </c>
      <c r="E81" s="215">
        <v>1</v>
      </c>
      <c r="F81" s="107"/>
      <c r="G81" s="108"/>
      <c r="H81" s="4"/>
      <c r="I81" s="4"/>
      <c r="J81" s="4"/>
      <c r="K81" s="337"/>
      <c r="L81" s="338"/>
      <c r="M81" s="338"/>
      <c r="N81" s="338"/>
      <c r="O81" s="338"/>
      <c r="P81" s="339"/>
    </row>
    <row r="82" spans="1:16" s="25" customFormat="1" ht="14.25">
      <c r="A82" s="106">
        <f t="shared" si="1"/>
        <v>69</v>
      </c>
      <c r="B82" s="2" t="s">
        <v>229</v>
      </c>
      <c r="C82" s="214"/>
      <c r="D82" s="13" t="s">
        <v>30</v>
      </c>
      <c r="E82" s="215">
        <v>1</v>
      </c>
      <c r="F82" s="33"/>
      <c r="G82" s="33"/>
      <c r="H82" s="4"/>
      <c r="I82" s="4"/>
      <c r="J82" s="4"/>
      <c r="K82" s="337"/>
      <c r="L82" s="338"/>
      <c r="M82" s="338"/>
      <c r="N82" s="338"/>
      <c r="O82" s="338"/>
      <c r="P82" s="339"/>
    </row>
    <row r="83" spans="1:16" s="25" customFormat="1" ht="14.25">
      <c r="A83" s="106">
        <f t="shared" si="1"/>
        <v>70</v>
      </c>
      <c r="B83" s="2" t="s">
        <v>439</v>
      </c>
      <c r="C83" s="214"/>
      <c r="D83" s="13" t="s">
        <v>30</v>
      </c>
      <c r="E83" s="215">
        <v>1</v>
      </c>
      <c r="F83" s="33"/>
      <c r="G83" s="33"/>
      <c r="H83" s="4"/>
      <c r="I83" s="4"/>
      <c r="J83" s="4"/>
      <c r="K83" s="337"/>
      <c r="L83" s="338"/>
      <c r="M83" s="338"/>
      <c r="N83" s="338"/>
      <c r="O83" s="338"/>
      <c r="P83" s="339"/>
    </row>
    <row r="84" spans="1:16" s="25" customFormat="1" ht="24">
      <c r="A84" s="106">
        <f t="shared" si="1"/>
        <v>71</v>
      </c>
      <c r="B84" s="2" t="s">
        <v>567</v>
      </c>
      <c r="C84" s="214"/>
      <c r="D84" s="13" t="s">
        <v>30</v>
      </c>
      <c r="E84" s="215">
        <v>1</v>
      </c>
      <c r="F84" s="107"/>
      <c r="G84" s="108"/>
      <c r="H84" s="4"/>
      <c r="I84" s="4"/>
      <c r="J84" s="4"/>
      <c r="K84" s="337"/>
      <c r="L84" s="338"/>
      <c r="M84" s="338"/>
      <c r="N84" s="338"/>
      <c r="O84" s="338"/>
      <c r="P84" s="339"/>
    </row>
    <row r="85" spans="1:16" s="25" customFormat="1" ht="14.25">
      <c r="A85" s="106">
        <f t="shared" si="1"/>
        <v>72</v>
      </c>
      <c r="B85" s="236" t="s">
        <v>568</v>
      </c>
      <c r="C85" s="237"/>
      <c r="D85" s="13"/>
      <c r="E85" s="10"/>
      <c r="F85" s="33"/>
      <c r="G85" s="33"/>
      <c r="H85" s="4"/>
      <c r="I85" s="4"/>
      <c r="J85" s="4"/>
      <c r="K85" s="4"/>
      <c r="L85" s="4"/>
      <c r="M85" s="4"/>
      <c r="N85" s="4"/>
      <c r="O85" s="4"/>
      <c r="P85" s="20"/>
    </row>
    <row r="86" spans="1:16" s="25" customFormat="1" ht="45">
      <c r="A86" s="106">
        <f t="shared" si="1"/>
        <v>73</v>
      </c>
      <c r="B86" s="2" t="s">
        <v>569</v>
      </c>
      <c r="C86" s="214" t="s">
        <v>974</v>
      </c>
      <c r="D86" s="13" t="s">
        <v>29</v>
      </c>
      <c r="E86" s="215">
        <v>2</v>
      </c>
      <c r="F86" s="107"/>
      <c r="G86" s="108"/>
      <c r="H86" s="4"/>
      <c r="I86" s="4"/>
      <c r="J86" s="4"/>
      <c r="K86" s="337"/>
      <c r="L86" s="338"/>
      <c r="M86" s="338"/>
      <c r="N86" s="338"/>
      <c r="O86" s="338"/>
      <c r="P86" s="339"/>
    </row>
    <row r="87" spans="1:16" s="25" customFormat="1" ht="56.25">
      <c r="A87" s="106">
        <f t="shared" si="1"/>
        <v>74</v>
      </c>
      <c r="B87" s="2" t="s">
        <v>570</v>
      </c>
      <c r="C87" s="214" t="s">
        <v>975</v>
      </c>
      <c r="D87" s="13" t="s">
        <v>29</v>
      </c>
      <c r="E87" s="215">
        <v>1</v>
      </c>
      <c r="F87" s="107"/>
      <c r="G87" s="108"/>
      <c r="H87" s="4"/>
      <c r="I87" s="4"/>
      <c r="J87" s="4"/>
      <c r="K87" s="337"/>
      <c r="L87" s="338"/>
      <c r="M87" s="338"/>
      <c r="N87" s="338"/>
      <c r="O87" s="338"/>
      <c r="P87" s="339"/>
    </row>
    <row r="88" spans="1:16" s="25" customFormat="1" ht="14.25">
      <c r="A88" s="106">
        <f t="shared" si="1"/>
        <v>75</v>
      </c>
      <c r="B88" s="2" t="s">
        <v>229</v>
      </c>
      <c r="C88" s="214"/>
      <c r="D88" s="13" t="s">
        <v>30</v>
      </c>
      <c r="E88" s="215">
        <v>1</v>
      </c>
      <c r="F88" s="33"/>
      <c r="G88" s="33"/>
      <c r="H88" s="4"/>
      <c r="I88" s="4"/>
      <c r="J88" s="4"/>
      <c r="K88" s="337"/>
      <c r="L88" s="338"/>
      <c r="M88" s="338"/>
      <c r="N88" s="338"/>
      <c r="O88" s="338"/>
      <c r="P88" s="339"/>
    </row>
    <row r="89" spans="1:16" s="25" customFormat="1" ht="14.25">
      <c r="A89" s="106">
        <f t="shared" si="1"/>
        <v>76</v>
      </c>
      <c r="B89" s="2" t="s">
        <v>571</v>
      </c>
      <c r="C89" s="214"/>
      <c r="D89" s="13" t="s">
        <v>30</v>
      </c>
      <c r="E89" s="215">
        <v>1</v>
      </c>
      <c r="F89" s="33"/>
      <c r="G89" s="33"/>
      <c r="H89" s="4"/>
      <c r="I89" s="4"/>
      <c r="J89" s="4"/>
      <c r="K89" s="337"/>
      <c r="L89" s="338"/>
      <c r="M89" s="338"/>
      <c r="N89" s="338"/>
      <c r="O89" s="338"/>
      <c r="P89" s="339"/>
    </row>
    <row r="90" spans="1:16" s="25" customFormat="1" ht="14.25">
      <c r="A90" s="106">
        <f t="shared" si="1"/>
        <v>77</v>
      </c>
      <c r="B90" s="236" t="s">
        <v>572</v>
      </c>
      <c r="C90" s="237"/>
      <c r="D90" s="13"/>
      <c r="E90" s="10"/>
      <c r="F90" s="33"/>
      <c r="G90" s="33"/>
      <c r="H90" s="4"/>
      <c r="I90" s="4"/>
      <c r="J90" s="4"/>
      <c r="K90" s="4"/>
      <c r="L90" s="4"/>
      <c r="M90" s="4"/>
      <c r="N90" s="4"/>
      <c r="O90" s="4"/>
      <c r="P90" s="20"/>
    </row>
    <row r="91" spans="1:16" s="25" customFormat="1" ht="36">
      <c r="A91" s="106">
        <f t="shared" si="1"/>
        <v>78</v>
      </c>
      <c r="B91" s="2" t="s">
        <v>573</v>
      </c>
      <c r="C91" s="214" t="s">
        <v>574</v>
      </c>
      <c r="D91" s="13" t="s">
        <v>30</v>
      </c>
      <c r="E91" s="215">
        <v>1</v>
      </c>
      <c r="F91" s="33"/>
      <c r="G91" s="108"/>
      <c r="H91" s="4"/>
      <c r="I91" s="4"/>
      <c r="J91" s="4"/>
      <c r="K91" s="337"/>
      <c r="L91" s="338"/>
      <c r="M91" s="338"/>
      <c r="N91" s="338"/>
      <c r="O91" s="338"/>
      <c r="P91" s="339"/>
    </row>
    <row r="92" spans="1:16" s="25" customFormat="1" ht="24">
      <c r="A92" s="106">
        <f t="shared" si="1"/>
        <v>79</v>
      </c>
      <c r="B92" s="2" t="s">
        <v>575</v>
      </c>
      <c r="C92" s="214" t="s">
        <v>574</v>
      </c>
      <c r="D92" s="13" t="s">
        <v>30</v>
      </c>
      <c r="E92" s="215">
        <v>1</v>
      </c>
      <c r="F92" s="33"/>
      <c r="G92" s="33"/>
      <c r="H92" s="4"/>
      <c r="I92" s="4"/>
      <c r="J92" s="4"/>
      <c r="K92" s="337"/>
      <c r="L92" s="338"/>
      <c r="M92" s="338"/>
      <c r="N92" s="338"/>
      <c r="O92" s="338"/>
      <c r="P92" s="339"/>
    </row>
    <row r="93" spans="1:16" s="25" customFormat="1" ht="36">
      <c r="A93" s="106">
        <f t="shared" si="1"/>
        <v>80</v>
      </c>
      <c r="B93" s="2" t="s">
        <v>576</v>
      </c>
      <c r="C93" s="214" t="s">
        <v>574</v>
      </c>
      <c r="D93" s="13" t="s">
        <v>30</v>
      </c>
      <c r="E93" s="215">
        <v>1</v>
      </c>
      <c r="F93" s="33"/>
      <c r="G93" s="33"/>
      <c r="H93" s="4"/>
      <c r="I93" s="4"/>
      <c r="J93" s="4"/>
      <c r="K93" s="337"/>
      <c r="L93" s="338"/>
      <c r="M93" s="338"/>
      <c r="N93" s="338"/>
      <c r="O93" s="338"/>
      <c r="P93" s="339"/>
    </row>
    <row r="94" spans="1:16" s="25" customFormat="1" ht="14.25">
      <c r="A94" s="106">
        <f t="shared" si="1"/>
        <v>81</v>
      </c>
      <c r="B94" s="2" t="s">
        <v>577</v>
      </c>
      <c r="C94" s="214" t="s">
        <v>574</v>
      </c>
      <c r="D94" s="13" t="s">
        <v>30</v>
      </c>
      <c r="E94" s="215">
        <v>1</v>
      </c>
      <c r="F94" s="33"/>
      <c r="G94" s="33"/>
      <c r="H94" s="4"/>
      <c r="I94" s="4"/>
      <c r="J94" s="4"/>
      <c r="K94" s="337"/>
      <c r="L94" s="338"/>
      <c r="M94" s="338"/>
      <c r="N94" s="338"/>
      <c r="O94" s="338"/>
      <c r="P94" s="339"/>
    </row>
    <row r="95" spans="1:16" s="25" customFormat="1" ht="24">
      <c r="A95" s="106">
        <f t="shared" si="1"/>
        <v>82</v>
      </c>
      <c r="B95" s="2" t="s">
        <v>578</v>
      </c>
      <c r="C95" s="214" t="s">
        <v>574</v>
      </c>
      <c r="D95" s="13" t="s">
        <v>30</v>
      </c>
      <c r="E95" s="215">
        <v>1</v>
      </c>
      <c r="F95" s="33"/>
      <c r="G95" s="33"/>
      <c r="H95" s="4"/>
      <c r="I95" s="4"/>
      <c r="J95" s="4"/>
      <c r="K95" s="337"/>
      <c r="L95" s="338"/>
      <c r="M95" s="338"/>
      <c r="N95" s="338"/>
      <c r="O95" s="338"/>
      <c r="P95" s="339"/>
    </row>
    <row r="96" spans="1:16" s="25" customFormat="1" ht="14.25">
      <c r="A96" s="106">
        <f t="shared" si="1"/>
        <v>83</v>
      </c>
      <c r="B96" s="2" t="s">
        <v>952</v>
      </c>
      <c r="C96" s="214"/>
      <c r="D96" s="13" t="s">
        <v>42</v>
      </c>
      <c r="E96" s="14">
        <v>6</v>
      </c>
      <c r="F96" s="107"/>
      <c r="G96" s="108"/>
      <c r="H96" s="4"/>
      <c r="I96" s="4"/>
      <c r="J96" s="4"/>
      <c r="K96" s="337"/>
      <c r="L96" s="338"/>
      <c r="M96" s="338"/>
      <c r="N96" s="338"/>
      <c r="O96" s="338"/>
      <c r="P96" s="339"/>
    </row>
    <row r="97" spans="1:27" s="25" customFormat="1" ht="14.25">
      <c r="A97" s="106">
        <f t="shared" si="1"/>
        <v>84</v>
      </c>
      <c r="B97" s="2" t="s">
        <v>229</v>
      </c>
      <c r="C97" s="214"/>
      <c r="D97" s="13" t="s">
        <v>30</v>
      </c>
      <c r="E97" s="215">
        <v>1</v>
      </c>
      <c r="F97" s="33"/>
      <c r="G97" s="33"/>
      <c r="H97" s="4"/>
      <c r="I97" s="4"/>
      <c r="J97" s="4"/>
      <c r="K97" s="337"/>
      <c r="L97" s="338"/>
      <c r="M97" s="338"/>
      <c r="N97" s="338"/>
      <c r="O97" s="338"/>
      <c r="P97" s="339"/>
    </row>
    <row r="98" spans="1:27" s="25" customFormat="1" ht="14.25">
      <c r="A98" s="106">
        <f t="shared" si="1"/>
        <v>85</v>
      </c>
      <c r="B98" s="236" t="s">
        <v>541</v>
      </c>
      <c r="C98" s="237"/>
      <c r="D98" s="13"/>
      <c r="E98" s="10"/>
      <c r="F98" s="33"/>
      <c r="G98" s="33"/>
      <c r="H98" s="4"/>
      <c r="I98" s="4"/>
      <c r="J98" s="4"/>
      <c r="K98" s="4"/>
      <c r="L98" s="4"/>
      <c r="M98" s="4"/>
      <c r="N98" s="4"/>
      <c r="O98" s="4"/>
      <c r="P98" s="20"/>
    </row>
    <row r="99" spans="1:27" s="25" customFormat="1" ht="33.75">
      <c r="A99" s="106">
        <f t="shared" si="1"/>
        <v>86</v>
      </c>
      <c r="B99" s="2" t="s">
        <v>521</v>
      </c>
      <c r="C99" s="214" t="s">
        <v>922</v>
      </c>
      <c r="D99" s="13" t="s">
        <v>42</v>
      </c>
      <c r="E99" s="14">
        <v>16</v>
      </c>
      <c r="F99" s="107"/>
      <c r="G99" s="108"/>
      <c r="H99" s="4"/>
      <c r="I99" s="4"/>
      <c r="J99" s="4"/>
      <c r="K99" s="337"/>
      <c r="L99" s="338"/>
      <c r="M99" s="338"/>
      <c r="N99" s="338"/>
      <c r="O99" s="338"/>
      <c r="P99" s="339"/>
    </row>
    <row r="100" spans="1:27" s="25" customFormat="1" ht="14.25">
      <c r="A100" s="106">
        <f t="shared" si="1"/>
        <v>87</v>
      </c>
      <c r="B100" s="2" t="s">
        <v>523</v>
      </c>
      <c r="C100" s="214" t="s">
        <v>522</v>
      </c>
      <c r="D100" s="13" t="s">
        <v>30</v>
      </c>
      <c r="E100" s="215">
        <v>1</v>
      </c>
      <c r="F100" s="33"/>
      <c r="G100" s="33"/>
      <c r="H100" s="4"/>
      <c r="I100" s="4"/>
      <c r="J100" s="4"/>
      <c r="K100" s="337"/>
      <c r="L100" s="338"/>
      <c r="M100" s="338"/>
      <c r="N100" s="338"/>
      <c r="O100" s="338"/>
      <c r="P100" s="339"/>
    </row>
    <row r="101" spans="1:27" s="25" customFormat="1" ht="24">
      <c r="A101" s="106">
        <f t="shared" si="1"/>
        <v>88</v>
      </c>
      <c r="B101" s="2" t="s">
        <v>524</v>
      </c>
      <c r="C101" s="214" t="s">
        <v>522</v>
      </c>
      <c r="D101" s="13" t="s">
        <v>30</v>
      </c>
      <c r="E101" s="215">
        <v>1</v>
      </c>
      <c r="F101" s="33"/>
      <c r="G101" s="33"/>
      <c r="H101" s="4"/>
      <c r="I101" s="4"/>
      <c r="J101" s="4"/>
      <c r="K101" s="337"/>
      <c r="L101" s="338"/>
      <c r="M101" s="338"/>
      <c r="N101" s="338"/>
      <c r="O101" s="338"/>
      <c r="P101" s="339"/>
    </row>
    <row r="102" spans="1:27" s="25" customFormat="1" ht="56.25">
      <c r="A102" s="106">
        <f t="shared" si="1"/>
        <v>89</v>
      </c>
      <c r="B102" s="2" t="s">
        <v>542</v>
      </c>
      <c r="C102" s="214" t="s">
        <v>977</v>
      </c>
      <c r="D102" s="13" t="s">
        <v>30</v>
      </c>
      <c r="E102" s="215">
        <v>1</v>
      </c>
      <c r="F102" s="107"/>
      <c r="G102" s="108"/>
      <c r="H102" s="4"/>
      <c r="I102" s="4"/>
      <c r="J102" s="4"/>
      <c r="K102" s="337"/>
      <c r="L102" s="338"/>
      <c r="M102" s="338"/>
      <c r="N102" s="338"/>
      <c r="O102" s="338"/>
      <c r="P102" s="339"/>
    </row>
    <row r="103" spans="1:27" s="25" customFormat="1" ht="14.25">
      <c r="A103" s="106">
        <f t="shared" si="1"/>
        <v>90</v>
      </c>
      <c r="B103" s="2" t="s">
        <v>229</v>
      </c>
      <c r="C103" s="214"/>
      <c r="D103" s="13" t="s">
        <v>30</v>
      </c>
      <c r="E103" s="215">
        <v>1</v>
      </c>
      <c r="F103" s="33"/>
      <c r="G103" s="33"/>
      <c r="H103" s="4"/>
      <c r="I103" s="4"/>
      <c r="J103" s="4"/>
      <c r="K103" s="337"/>
      <c r="L103" s="338"/>
      <c r="M103" s="338"/>
      <c r="N103" s="338"/>
      <c r="O103" s="338"/>
      <c r="P103" s="339"/>
    </row>
    <row r="104" spans="1:27" s="25" customFormat="1" ht="15" thickBot="1">
      <c r="A104" s="106">
        <f t="shared" si="1"/>
        <v>91</v>
      </c>
      <c r="B104" s="2" t="s">
        <v>439</v>
      </c>
      <c r="C104" s="214"/>
      <c r="D104" s="13" t="s">
        <v>30</v>
      </c>
      <c r="E104" s="215">
        <v>1</v>
      </c>
      <c r="F104" s="33"/>
      <c r="G104" s="33"/>
      <c r="H104" s="4"/>
      <c r="I104" s="4"/>
      <c r="J104" s="4"/>
      <c r="K104" s="337"/>
      <c r="L104" s="338"/>
      <c r="M104" s="338"/>
      <c r="N104" s="338"/>
      <c r="O104" s="338"/>
      <c r="P104" s="339"/>
    </row>
    <row r="105" spans="1:27" s="102" customFormat="1" ht="15.75" thickTop="1" thickBot="1">
      <c r="A105" s="181"/>
      <c r="B105" s="400" t="s">
        <v>1587</v>
      </c>
      <c r="C105" s="401"/>
      <c r="D105" s="401"/>
      <c r="E105" s="401"/>
      <c r="F105" s="401"/>
      <c r="G105" s="401"/>
      <c r="H105" s="401"/>
      <c r="I105" s="401"/>
      <c r="J105" s="401"/>
      <c r="K105" s="402"/>
      <c r="L105" s="182"/>
      <c r="M105" s="182"/>
      <c r="N105" s="182"/>
      <c r="O105" s="182"/>
      <c r="P105" s="182"/>
      <c r="Q105" s="25"/>
      <c r="R105" s="25"/>
      <c r="S105" s="25"/>
      <c r="T105" s="25"/>
      <c r="U105" s="25"/>
      <c r="V105" s="25"/>
      <c r="W105" s="25"/>
      <c r="X105" s="25"/>
      <c r="Y105" s="25"/>
      <c r="Z105" s="25"/>
      <c r="AA105" s="25"/>
    </row>
    <row r="106" spans="1:27" s="102" customFormat="1" ht="15" thickTop="1">
      <c r="A106" s="220"/>
      <c r="B106" s="220"/>
      <c r="C106" s="220"/>
      <c r="D106" s="220"/>
      <c r="E106" s="220"/>
      <c r="F106" s="220"/>
      <c r="G106" s="220"/>
      <c r="H106" s="220"/>
      <c r="I106" s="220"/>
      <c r="J106" s="220"/>
      <c r="K106" s="220"/>
      <c r="L106" s="220"/>
      <c r="M106" s="220"/>
      <c r="N106" s="220"/>
      <c r="O106" s="220"/>
      <c r="P106" s="220"/>
      <c r="Q106" s="25"/>
      <c r="R106" s="25"/>
      <c r="S106" s="25"/>
      <c r="T106" s="25"/>
      <c r="U106" s="25"/>
      <c r="V106" s="25"/>
      <c r="W106" s="25"/>
      <c r="X106" s="25"/>
      <c r="Y106" s="25"/>
      <c r="Z106" s="25"/>
      <c r="AA106" s="25"/>
    </row>
    <row r="107" spans="1:27" s="102" customFormat="1" ht="14.25">
      <c r="A107" s="27"/>
      <c r="B107" s="65"/>
      <c r="C107" s="27"/>
      <c r="D107" s="27"/>
      <c r="E107" s="27"/>
      <c r="F107" s="27"/>
      <c r="G107" s="27"/>
      <c r="H107" s="27"/>
      <c r="I107" s="27"/>
      <c r="J107" s="27"/>
      <c r="K107" s="27"/>
      <c r="L107" s="27"/>
      <c r="M107" s="27"/>
      <c r="N107" s="27"/>
      <c r="O107" s="27"/>
      <c r="P107" s="26"/>
      <c r="Q107" s="25"/>
      <c r="R107" s="25"/>
      <c r="S107" s="25"/>
      <c r="T107" s="25"/>
      <c r="U107" s="25"/>
      <c r="V107" s="25"/>
      <c r="W107" s="25"/>
      <c r="X107" s="25"/>
      <c r="Y107" s="25"/>
      <c r="Z107" s="25"/>
      <c r="AA107" s="25"/>
    </row>
    <row r="108" spans="1:27" ht="14.25">
      <c r="A108" s="117"/>
      <c r="B108" s="172" t="s">
        <v>209</v>
      </c>
      <c r="C108" s="117"/>
      <c r="D108" s="117"/>
      <c r="E108" s="117"/>
      <c r="F108" s="117"/>
      <c r="G108" s="117"/>
      <c r="H108" s="117"/>
      <c r="I108" s="102"/>
      <c r="J108" s="102"/>
      <c r="K108" s="102"/>
      <c r="L108" s="102"/>
      <c r="M108" s="102"/>
      <c r="N108" s="102"/>
      <c r="O108" s="102"/>
      <c r="P108" s="25"/>
    </row>
    <row r="109" spans="1:27" s="27" customFormat="1" ht="14.25">
      <c r="A109" s="117"/>
      <c r="B109" s="172"/>
      <c r="C109" s="117"/>
      <c r="D109" s="117"/>
      <c r="E109" s="117"/>
      <c r="F109" s="117"/>
      <c r="G109" s="117"/>
      <c r="H109" s="117"/>
      <c r="I109" s="102"/>
      <c r="J109" s="102"/>
      <c r="K109" s="102"/>
      <c r="L109" s="102"/>
      <c r="M109" s="102"/>
      <c r="N109" s="102"/>
      <c r="O109" s="102"/>
      <c r="P109" s="25"/>
      <c r="Q109" s="37"/>
      <c r="R109" s="26"/>
      <c r="S109" s="26"/>
      <c r="T109" s="26"/>
      <c r="U109" s="26"/>
      <c r="V109" s="26"/>
      <c r="W109" s="26"/>
      <c r="X109" s="26"/>
      <c r="Y109" s="26"/>
      <c r="Z109" s="26"/>
    </row>
    <row r="110" spans="1:27" s="102" customFormat="1" ht="14.25">
      <c r="A110" s="27"/>
      <c r="B110" s="92">
        <f ca="1">TODAY()</f>
        <v>43206</v>
      </c>
      <c r="C110" s="144"/>
      <c r="D110" s="27"/>
      <c r="E110" s="27"/>
      <c r="F110" s="27"/>
      <c r="G110" s="27"/>
      <c r="H110" s="27"/>
      <c r="I110" s="27"/>
      <c r="J110" s="27"/>
      <c r="K110" s="27"/>
      <c r="L110" s="27"/>
      <c r="M110" s="27"/>
      <c r="N110" s="27"/>
      <c r="O110" s="27"/>
      <c r="P110" s="26"/>
      <c r="Q110" s="25"/>
      <c r="R110" s="25"/>
      <c r="S110" s="25"/>
      <c r="T110" s="25"/>
      <c r="U110" s="25"/>
      <c r="V110" s="25"/>
      <c r="W110" s="25"/>
      <c r="X110" s="25"/>
      <c r="Y110" s="25"/>
      <c r="Z110" s="25"/>
    </row>
    <row r="111" spans="1:27" s="102" customFormat="1" ht="14.25">
      <c r="A111" s="310"/>
      <c r="B111" s="310"/>
      <c r="C111" s="310"/>
      <c r="D111" s="310"/>
      <c r="E111" s="310"/>
      <c r="F111" s="310"/>
      <c r="G111" s="220"/>
      <c r="H111" s="220"/>
      <c r="I111" s="220"/>
      <c r="J111" s="220"/>
      <c r="K111" s="220"/>
      <c r="L111" s="220"/>
      <c r="M111" s="220"/>
      <c r="N111" s="220"/>
      <c r="O111" s="220"/>
      <c r="P111" s="220"/>
      <c r="Q111" s="25"/>
      <c r="R111" s="25"/>
      <c r="S111" s="25"/>
      <c r="T111" s="25"/>
      <c r="U111" s="25"/>
      <c r="V111" s="25"/>
      <c r="W111" s="25"/>
      <c r="X111" s="25"/>
      <c r="Y111" s="25"/>
      <c r="Z111" s="25"/>
    </row>
    <row r="112" spans="1:27" s="27" customFormat="1" ht="14.25">
      <c r="A112" s="220"/>
      <c r="B112" s="220"/>
      <c r="C112" s="220"/>
      <c r="D112" s="220"/>
      <c r="E112" s="220"/>
      <c r="F112" s="220"/>
      <c r="G112" s="220"/>
      <c r="H112" s="220"/>
      <c r="I112" s="220"/>
      <c r="J112" s="220"/>
      <c r="K112" s="220"/>
      <c r="L112" s="220"/>
      <c r="M112" s="220"/>
      <c r="N112" s="220"/>
      <c r="O112" s="220"/>
      <c r="P112" s="220"/>
      <c r="Q112" s="37"/>
      <c r="R112" s="26"/>
      <c r="S112" s="26"/>
      <c r="T112" s="26"/>
      <c r="U112" s="26"/>
      <c r="V112" s="26"/>
      <c r="W112" s="26"/>
      <c r="X112" s="26"/>
      <c r="Y112" s="26"/>
      <c r="Z112" s="26"/>
    </row>
  </sheetData>
  <autoFilter ref="D13:D104"/>
  <mergeCells count="23">
    <mergeCell ref="B105:K105"/>
    <mergeCell ref="P8:P11"/>
    <mergeCell ref="K8:K11"/>
    <mergeCell ref="L8:L11"/>
    <mergeCell ref="M8:M11"/>
    <mergeCell ref="N8:N11"/>
    <mergeCell ref="O8:O11"/>
    <mergeCell ref="A1:P1"/>
    <mergeCell ref="A2:P2"/>
    <mergeCell ref="K6:N6"/>
    <mergeCell ref="O6:P6"/>
    <mergeCell ref="A7:A11"/>
    <mergeCell ref="B7:B11"/>
    <mergeCell ref="C7:C11"/>
    <mergeCell ref="D7:D11"/>
    <mergeCell ref="E7:E11"/>
    <mergeCell ref="F7:K7"/>
    <mergeCell ref="L7:P7"/>
    <mergeCell ref="F8:F11"/>
    <mergeCell ref="G8:G11"/>
    <mergeCell ref="H8:H11"/>
    <mergeCell ref="I8:I11"/>
    <mergeCell ref="J8:J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4"/>
  <sheetViews>
    <sheetView topLeftCell="A28" zoomScale="90" zoomScaleNormal="90" workbookViewId="0">
      <selection activeCell="L41" sqref="L41"/>
    </sheetView>
  </sheetViews>
  <sheetFormatPr defaultColWidth="9.140625" defaultRowHeight="12"/>
  <cols>
    <col min="1" max="1" width="5.5703125" style="220" customWidth="1"/>
    <col min="2" max="2" width="36.28515625" style="220" customWidth="1"/>
    <col min="3" max="3" width="10.28515625" style="220" customWidth="1"/>
    <col min="4" max="5" width="7.28515625" style="220" customWidth="1"/>
    <col min="6" max="11" width="8.140625" style="220" customWidth="1"/>
    <col min="12" max="12" width="9.140625" style="220" customWidth="1"/>
    <col min="13" max="13" width="9.5703125" style="220" customWidth="1"/>
    <col min="14" max="15" width="9.140625" style="220" customWidth="1"/>
    <col min="16" max="16" width="10.140625" style="220" customWidth="1"/>
    <col min="17" max="17" width="9.28515625" style="220" customWidth="1"/>
    <col min="18" max="24" width="2.140625" style="220" customWidth="1"/>
    <col min="25" max="16384" width="9.140625" style="220"/>
  </cols>
  <sheetData>
    <row r="1" spans="1:16" s="27" customFormat="1" ht="14.25">
      <c r="A1" s="368" t="s">
        <v>580</v>
      </c>
      <c r="B1" s="368"/>
      <c r="C1" s="368"/>
      <c r="D1" s="368"/>
      <c r="E1" s="368"/>
      <c r="F1" s="368"/>
      <c r="G1" s="368"/>
      <c r="H1" s="368"/>
      <c r="I1" s="368"/>
      <c r="J1" s="368"/>
      <c r="K1" s="368"/>
      <c r="L1" s="368"/>
      <c r="M1" s="368"/>
      <c r="N1" s="368"/>
      <c r="O1" s="368"/>
      <c r="P1" s="368"/>
    </row>
    <row r="2" spans="1:16" s="27" customFormat="1" ht="14.25">
      <c r="A2" s="405" t="str">
        <f>Kopsavilkums!C31</f>
        <v>Apkure</v>
      </c>
      <c r="B2" s="405"/>
      <c r="C2" s="405"/>
      <c r="D2" s="405"/>
      <c r="E2" s="405"/>
      <c r="F2" s="405"/>
      <c r="G2" s="405"/>
      <c r="H2" s="405"/>
      <c r="I2" s="405"/>
      <c r="J2" s="405"/>
      <c r="K2" s="405"/>
      <c r="L2" s="405"/>
      <c r="M2" s="405"/>
      <c r="N2" s="405"/>
      <c r="O2" s="405"/>
      <c r="P2" s="405"/>
    </row>
    <row r="3" spans="1:16" s="27" customFormat="1" ht="14.25">
      <c r="A3" s="115" t="s">
        <v>1246</v>
      </c>
      <c r="B3" s="119"/>
      <c r="C3" s="119"/>
      <c r="D3" s="119"/>
      <c r="E3" s="119"/>
      <c r="F3" s="119"/>
      <c r="G3" s="119"/>
      <c r="H3" s="119"/>
      <c r="I3" s="119"/>
      <c r="J3" s="119"/>
      <c r="K3" s="119"/>
      <c r="L3" s="119"/>
      <c r="M3" s="119"/>
      <c r="N3" s="119"/>
      <c r="O3" s="119"/>
      <c r="P3" s="119"/>
    </row>
    <row r="4" spans="1:16" s="27" customFormat="1" ht="14.25">
      <c r="A4" s="115" t="s">
        <v>307</v>
      </c>
      <c r="B4" s="119"/>
      <c r="C4" s="119"/>
      <c r="D4" s="119"/>
      <c r="E4" s="119"/>
      <c r="F4" s="119"/>
      <c r="G4" s="119"/>
      <c r="H4" s="119"/>
      <c r="I4" s="119"/>
      <c r="J4" s="119"/>
      <c r="K4" s="119"/>
      <c r="L4" s="119"/>
      <c r="M4" s="119"/>
      <c r="N4" s="119"/>
      <c r="O4" s="119"/>
      <c r="P4" s="119"/>
    </row>
    <row r="5" spans="1:16" s="27" customFormat="1" ht="14.25">
      <c r="A5" s="115" t="s">
        <v>306</v>
      </c>
      <c r="B5" s="119"/>
      <c r="C5" s="119"/>
      <c r="D5" s="119"/>
      <c r="E5" s="119"/>
      <c r="F5" s="119"/>
      <c r="G5" s="119"/>
      <c r="H5" s="119"/>
      <c r="I5" s="119"/>
      <c r="J5" s="119"/>
      <c r="K5" s="119"/>
      <c r="L5" s="119"/>
      <c r="M5" s="119"/>
      <c r="N5" s="119"/>
      <c r="O5" s="119"/>
      <c r="P5" s="119"/>
    </row>
    <row r="6" spans="1:16" s="15" customFormat="1" ht="13.5" thickBot="1">
      <c r="F6" s="28"/>
      <c r="G6" s="28"/>
      <c r="H6" s="28"/>
      <c r="I6" s="28"/>
      <c r="J6" s="28"/>
      <c r="K6" s="370" t="s">
        <v>13</v>
      </c>
      <c r="L6" s="370"/>
      <c r="M6" s="370"/>
      <c r="N6" s="370"/>
      <c r="O6" s="406" t="e">
        <f>#REF!</f>
        <v>#REF!</v>
      </c>
      <c r="P6" s="406"/>
    </row>
    <row r="7" spans="1:16" s="133" customFormat="1" ht="12.75">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25" customFormat="1" ht="15" thickTop="1">
      <c r="A13" s="106"/>
      <c r="B13" s="236" t="s">
        <v>520</v>
      </c>
      <c r="C13" s="237"/>
      <c r="D13" s="13"/>
      <c r="E13" s="10"/>
      <c r="F13" s="33"/>
      <c r="G13" s="33"/>
      <c r="H13" s="4"/>
      <c r="I13" s="4"/>
      <c r="J13" s="4"/>
      <c r="K13" s="4"/>
      <c r="L13" s="4"/>
      <c r="M13" s="4"/>
      <c r="N13" s="4"/>
      <c r="O13" s="4"/>
      <c r="P13" s="20"/>
    </row>
    <row r="14" spans="1:16" s="25" customFormat="1" ht="24">
      <c r="A14" s="106">
        <f t="shared" ref="A14:A38" si="0">A13+1</f>
        <v>1</v>
      </c>
      <c r="B14" s="2" t="s">
        <v>987</v>
      </c>
      <c r="C14" s="214" t="s">
        <v>982</v>
      </c>
      <c r="D14" s="13" t="s">
        <v>42</v>
      </c>
      <c r="E14" s="14">
        <v>170</v>
      </c>
      <c r="F14" s="107"/>
      <c r="G14" s="108"/>
      <c r="H14" s="4"/>
      <c r="I14" s="4"/>
      <c r="J14" s="4"/>
      <c r="K14" s="337"/>
      <c r="L14" s="338"/>
      <c r="M14" s="338"/>
      <c r="N14" s="338"/>
      <c r="O14" s="338"/>
      <c r="P14" s="339"/>
    </row>
    <row r="15" spans="1:16" s="25" customFormat="1" ht="24">
      <c r="A15" s="106">
        <f t="shared" si="0"/>
        <v>2</v>
      </c>
      <c r="B15" s="2" t="s">
        <v>987</v>
      </c>
      <c r="C15" s="214" t="s">
        <v>983</v>
      </c>
      <c r="D15" s="13" t="s">
        <v>42</v>
      </c>
      <c r="E15" s="14">
        <v>50</v>
      </c>
      <c r="F15" s="107"/>
      <c r="G15" s="108"/>
      <c r="H15" s="4"/>
      <c r="I15" s="4"/>
      <c r="J15" s="4"/>
      <c r="K15" s="337"/>
      <c r="L15" s="338"/>
      <c r="M15" s="338"/>
      <c r="N15" s="338"/>
      <c r="O15" s="338"/>
      <c r="P15" s="339"/>
    </row>
    <row r="16" spans="1:16" s="25" customFormat="1" ht="24">
      <c r="A16" s="106">
        <f t="shared" si="0"/>
        <v>3</v>
      </c>
      <c r="B16" s="2" t="s">
        <v>987</v>
      </c>
      <c r="C16" s="214" t="s">
        <v>984</v>
      </c>
      <c r="D16" s="13" t="s">
        <v>42</v>
      </c>
      <c r="E16" s="14">
        <v>16</v>
      </c>
      <c r="F16" s="107"/>
      <c r="G16" s="108"/>
      <c r="H16" s="4"/>
      <c r="I16" s="4"/>
      <c r="J16" s="4"/>
      <c r="K16" s="337"/>
      <c r="L16" s="338"/>
      <c r="M16" s="338"/>
      <c r="N16" s="338"/>
      <c r="O16" s="338"/>
      <c r="P16" s="339"/>
    </row>
    <row r="17" spans="1:16" s="25" customFormat="1" ht="24">
      <c r="A17" s="106">
        <f t="shared" si="0"/>
        <v>4</v>
      </c>
      <c r="B17" s="2" t="s">
        <v>987</v>
      </c>
      <c r="C17" s="214" t="s">
        <v>985</v>
      </c>
      <c r="D17" s="13" t="s">
        <v>42</v>
      </c>
      <c r="E17" s="14">
        <v>20</v>
      </c>
      <c r="F17" s="107"/>
      <c r="G17" s="108"/>
      <c r="H17" s="4"/>
      <c r="I17" s="4"/>
      <c r="J17" s="4"/>
      <c r="K17" s="337"/>
      <c r="L17" s="338"/>
      <c r="M17" s="338"/>
      <c r="N17" s="338"/>
      <c r="O17" s="338"/>
      <c r="P17" s="339"/>
    </row>
    <row r="18" spans="1:16" s="25" customFormat="1" ht="14.25">
      <c r="A18" s="106">
        <f t="shared" si="0"/>
        <v>5</v>
      </c>
      <c r="B18" s="2" t="s">
        <v>523</v>
      </c>
      <c r="C18" s="214" t="s">
        <v>522</v>
      </c>
      <c r="D18" s="13" t="s">
        <v>30</v>
      </c>
      <c r="E18" s="215">
        <v>1</v>
      </c>
      <c r="F18" s="107"/>
      <c r="G18" s="108"/>
      <c r="H18" s="4"/>
      <c r="I18" s="4"/>
      <c r="J18" s="4"/>
      <c r="K18" s="337"/>
      <c r="L18" s="338"/>
      <c r="M18" s="338"/>
      <c r="N18" s="338"/>
      <c r="O18" s="338"/>
      <c r="P18" s="339"/>
    </row>
    <row r="19" spans="1:16" s="25" customFormat="1" ht="24">
      <c r="A19" s="106">
        <f t="shared" si="0"/>
        <v>6</v>
      </c>
      <c r="B19" s="2" t="s">
        <v>524</v>
      </c>
      <c r="C19" s="214" t="s">
        <v>522</v>
      </c>
      <c r="D19" s="13" t="s">
        <v>30</v>
      </c>
      <c r="E19" s="215">
        <v>1</v>
      </c>
      <c r="F19" s="107"/>
      <c r="G19" s="108"/>
      <c r="H19" s="4"/>
      <c r="I19" s="4"/>
      <c r="J19" s="4"/>
      <c r="K19" s="337"/>
      <c r="L19" s="338"/>
      <c r="M19" s="338"/>
      <c r="N19" s="338"/>
      <c r="O19" s="338"/>
      <c r="P19" s="339"/>
    </row>
    <row r="20" spans="1:16" s="25" customFormat="1" ht="14.25">
      <c r="A20" s="106">
        <f t="shared" si="0"/>
        <v>7</v>
      </c>
      <c r="B20" s="2" t="s">
        <v>525</v>
      </c>
      <c r="C20" s="214" t="s">
        <v>986</v>
      </c>
      <c r="D20" s="13" t="s">
        <v>42</v>
      </c>
      <c r="E20" s="14">
        <v>12</v>
      </c>
      <c r="F20" s="107"/>
      <c r="G20" s="108"/>
      <c r="H20" s="4"/>
      <c r="I20" s="4"/>
      <c r="J20" s="4"/>
      <c r="K20" s="337"/>
      <c r="L20" s="338"/>
      <c r="M20" s="338"/>
      <c r="N20" s="338"/>
      <c r="O20" s="338"/>
      <c r="P20" s="339"/>
    </row>
    <row r="21" spans="1:16" s="25" customFormat="1" ht="36">
      <c r="A21" s="106">
        <f t="shared" si="0"/>
        <v>8</v>
      </c>
      <c r="B21" s="2" t="s">
        <v>526</v>
      </c>
      <c r="C21" s="214" t="s">
        <v>527</v>
      </c>
      <c r="D21" s="13" t="s">
        <v>30</v>
      </c>
      <c r="E21" s="215">
        <v>1</v>
      </c>
      <c r="F21" s="107"/>
      <c r="G21" s="108"/>
      <c r="H21" s="4"/>
      <c r="I21" s="4"/>
      <c r="J21" s="4"/>
      <c r="K21" s="337"/>
      <c r="L21" s="338"/>
      <c r="M21" s="338"/>
      <c r="N21" s="338"/>
      <c r="O21" s="338"/>
      <c r="P21" s="339"/>
    </row>
    <row r="22" spans="1:16" s="25" customFormat="1" ht="36">
      <c r="A22" s="106">
        <f t="shared" si="0"/>
        <v>9</v>
      </c>
      <c r="B22" s="2" t="s">
        <v>526</v>
      </c>
      <c r="C22" s="214" t="s">
        <v>528</v>
      </c>
      <c r="D22" s="13" t="s">
        <v>30</v>
      </c>
      <c r="E22" s="215">
        <v>1</v>
      </c>
      <c r="F22" s="107"/>
      <c r="G22" s="108"/>
      <c r="H22" s="4"/>
      <c r="I22" s="4"/>
      <c r="J22" s="4"/>
      <c r="K22" s="337"/>
      <c r="L22" s="338"/>
      <c r="M22" s="338"/>
      <c r="N22" s="338"/>
      <c r="O22" s="338"/>
      <c r="P22" s="339"/>
    </row>
    <row r="23" spans="1:16" s="25" customFormat="1" ht="36">
      <c r="A23" s="106">
        <f t="shared" si="0"/>
        <v>10</v>
      </c>
      <c r="B23" s="2" t="s">
        <v>526</v>
      </c>
      <c r="C23" s="214" t="s">
        <v>529</v>
      </c>
      <c r="D23" s="13" t="s">
        <v>30</v>
      </c>
      <c r="E23" s="215">
        <v>2</v>
      </c>
      <c r="F23" s="107"/>
      <c r="G23" s="108"/>
      <c r="H23" s="4"/>
      <c r="I23" s="4"/>
      <c r="J23" s="4"/>
      <c r="K23" s="337"/>
      <c r="L23" s="338"/>
      <c r="M23" s="338"/>
      <c r="N23" s="338"/>
      <c r="O23" s="338"/>
      <c r="P23" s="339"/>
    </row>
    <row r="24" spans="1:16" s="25" customFormat="1" ht="36">
      <c r="A24" s="106">
        <f t="shared" si="0"/>
        <v>11</v>
      </c>
      <c r="B24" s="2" t="s">
        <v>526</v>
      </c>
      <c r="C24" s="214" t="s">
        <v>530</v>
      </c>
      <c r="D24" s="13" t="s">
        <v>30</v>
      </c>
      <c r="E24" s="215">
        <v>1</v>
      </c>
      <c r="F24" s="107"/>
      <c r="G24" s="108"/>
      <c r="H24" s="4"/>
      <c r="I24" s="4"/>
      <c r="J24" s="4"/>
      <c r="K24" s="337"/>
      <c r="L24" s="338"/>
      <c r="M24" s="338"/>
      <c r="N24" s="338"/>
      <c r="O24" s="338"/>
      <c r="P24" s="339"/>
    </row>
    <row r="25" spans="1:16" s="25" customFormat="1" ht="36">
      <c r="A25" s="106">
        <f t="shared" si="0"/>
        <v>12</v>
      </c>
      <c r="B25" s="2" t="s">
        <v>526</v>
      </c>
      <c r="C25" s="214" t="s">
        <v>531</v>
      </c>
      <c r="D25" s="13" t="s">
        <v>30</v>
      </c>
      <c r="E25" s="215">
        <v>4</v>
      </c>
      <c r="F25" s="107"/>
      <c r="G25" s="108"/>
      <c r="H25" s="4"/>
      <c r="I25" s="4"/>
      <c r="J25" s="4"/>
      <c r="K25" s="337"/>
      <c r="L25" s="338"/>
      <c r="M25" s="338"/>
      <c r="N25" s="338"/>
      <c r="O25" s="338"/>
      <c r="P25" s="339"/>
    </row>
    <row r="26" spans="1:16" s="25" customFormat="1" ht="36">
      <c r="A26" s="106">
        <f t="shared" si="0"/>
        <v>13</v>
      </c>
      <c r="B26" s="2" t="s">
        <v>526</v>
      </c>
      <c r="C26" s="214" t="s">
        <v>532</v>
      </c>
      <c r="D26" s="13" t="s">
        <v>30</v>
      </c>
      <c r="E26" s="215">
        <v>2</v>
      </c>
      <c r="F26" s="107"/>
      <c r="G26" s="108"/>
      <c r="H26" s="4"/>
      <c r="I26" s="4"/>
      <c r="J26" s="4"/>
      <c r="K26" s="337"/>
      <c r="L26" s="338"/>
      <c r="M26" s="338"/>
      <c r="N26" s="338"/>
      <c r="O26" s="338"/>
      <c r="P26" s="339"/>
    </row>
    <row r="27" spans="1:16" s="25" customFormat="1" ht="36">
      <c r="A27" s="106">
        <f t="shared" si="0"/>
        <v>14</v>
      </c>
      <c r="B27" s="2" t="s">
        <v>526</v>
      </c>
      <c r="C27" s="214" t="s">
        <v>533</v>
      </c>
      <c r="D27" s="13" t="s">
        <v>30</v>
      </c>
      <c r="E27" s="215">
        <v>2</v>
      </c>
      <c r="F27" s="107"/>
      <c r="G27" s="108"/>
      <c r="H27" s="4"/>
      <c r="I27" s="4"/>
      <c r="J27" s="4"/>
      <c r="K27" s="337"/>
      <c r="L27" s="338"/>
      <c r="M27" s="338"/>
      <c r="N27" s="338"/>
      <c r="O27" s="338"/>
      <c r="P27" s="339"/>
    </row>
    <row r="28" spans="1:16" s="25" customFormat="1" ht="36">
      <c r="A28" s="106">
        <f t="shared" si="0"/>
        <v>15</v>
      </c>
      <c r="B28" s="2" t="s">
        <v>526</v>
      </c>
      <c r="C28" s="214" t="s">
        <v>534</v>
      </c>
      <c r="D28" s="13" t="s">
        <v>30</v>
      </c>
      <c r="E28" s="215">
        <v>1</v>
      </c>
      <c r="F28" s="107"/>
      <c r="G28" s="108"/>
      <c r="H28" s="4"/>
      <c r="I28" s="4"/>
      <c r="J28" s="4"/>
      <c r="K28" s="337"/>
      <c r="L28" s="338"/>
      <c r="M28" s="338"/>
      <c r="N28" s="338"/>
      <c r="O28" s="338"/>
      <c r="P28" s="339"/>
    </row>
    <row r="29" spans="1:16" s="25" customFormat="1" ht="36">
      <c r="A29" s="106">
        <f t="shared" si="0"/>
        <v>16</v>
      </c>
      <c r="B29" s="2" t="s">
        <v>526</v>
      </c>
      <c r="C29" s="214" t="s">
        <v>1094</v>
      </c>
      <c r="D29" s="13" t="s">
        <v>30</v>
      </c>
      <c r="E29" s="215">
        <v>1</v>
      </c>
      <c r="F29" s="107"/>
      <c r="G29" s="108"/>
      <c r="H29" s="4"/>
      <c r="I29" s="4"/>
      <c r="J29" s="4"/>
      <c r="K29" s="337"/>
      <c r="L29" s="338"/>
      <c r="M29" s="338"/>
      <c r="N29" s="338"/>
      <c r="O29" s="338"/>
      <c r="P29" s="339"/>
    </row>
    <row r="30" spans="1:16" s="25" customFormat="1" ht="36">
      <c r="A30" s="106">
        <f t="shared" si="0"/>
        <v>17</v>
      </c>
      <c r="B30" s="2" t="s">
        <v>526</v>
      </c>
      <c r="C30" s="214" t="s">
        <v>535</v>
      </c>
      <c r="D30" s="13" t="s">
        <v>30</v>
      </c>
      <c r="E30" s="215">
        <v>2</v>
      </c>
      <c r="F30" s="107"/>
      <c r="G30" s="108"/>
      <c r="H30" s="4"/>
      <c r="I30" s="4"/>
      <c r="J30" s="4"/>
      <c r="K30" s="337"/>
      <c r="L30" s="338"/>
      <c r="M30" s="338"/>
      <c r="N30" s="338"/>
      <c r="O30" s="338"/>
      <c r="P30" s="339"/>
    </row>
    <row r="31" spans="1:16" s="25" customFormat="1" ht="22.5">
      <c r="A31" s="106">
        <f t="shared" si="0"/>
        <v>18</v>
      </c>
      <c r="B31" s="2" t="s">
        <v>536</v>
      </c>
      <c r="C31" s="214" t="s">
        <v>978</v>
      </c>
      <c r="D31" s="13" t="s">
        <v>30</v>
      </c>
      <c r="E31" s="215">
        <v>17</v>
      </c>
      <c r="F31" s="107"/>
      <c r="G31" s="108"/>
      <c r="H31" s="4"/>
      <c r="I31" s="4"/>
      <c r="J31" s="4"/>
      <c r="K31" s="337"/>
      <c r="L31" s="338"/>
      <c r="M31" s="338"/>
      <c r="N31" s="338"/>
      <c r="O31" s="338"/>
      <c r="P31" s="339"/>
    </row>
    <row r="32" spans="1:16" s="25" customFormat="1" ht="22.5">
      <c r="A32" s="106">
        <f t="shared" si="0"/>
        <v>19</v>
      </c>
      <c r="B32" s="2" t="s">
        <v>537</v>
      </c>
      <c r="C32" s="214" t="s">
        <v>979</v>
      </c>
      <c r="D32" s="13" t="s">
        <v>30</v>
      </c>
      <c r="E32" s="215">
        <v>17</v>
      </c>
      <c r="F32" s="107"/>
      <c r="G32" s="108"/>
      <c r="H32" s="4"/>
      <c r="I32" s="4"/>
      <c r="J32" s="4"/>
      <c r="K32" s="337"/>
      <c r="L32" s="338"/>
      <c r="M32" s="338"/>
      <c r="N32" s="338"/>
      <c r="O32" s="338"/>
      <c r="P32" s="339"/>
    </row>
    <row r="33" spans="1:27" s="25" customFormat="1" ht="14.25">
      <c r="A33" s="106">
        <f t="shared" si="0"/>
        <v>20</v>
      </c>
      <c r="B33" s="2" t="s">
        <v>538</v>
      </c>
      <c r="C33" s="214" t="s">
        <v>415</v>
      </c>
      <c r="D33" s="13" t="s">
        <v>29</v>
      </c>
      <c r="E33" s="215">
        <v>2</v>
      </c>
      <c r="F33" s="107"/>
      <c r="G33" s="108"/>
      <c r="H33" s="4"/>
      <c r="I33" s="4"/>
      <c r="J33" s="4"/>
      <c r="K33" s="337"/>
      <c r="L33" s="338"/>
      <c r="M33" s="338"/>
      <c r="N33" s="338"/>
      <c r="O33" s="338"/>
      <c r="P33" s="339"/>
    </row>
    <row r="34" spans="1:27" s="25" customFormat="1" ht="33.75">
      <c r="A34" s="106">
        <f t="shared" si="0"/>
        <v>21</v>
      </c>
      <c r="B34" s="2" t="s">
        <v>539</v>
      </c>
      <c r="C34" s="214" t="s">
        <v>980</v>
      </c>
      <c r="D34" s="13" t="s">
        <v>30</v>
      </c>
      <c r="E34" s="215">
        <v>1</v>
      </c>
      <c r="F34" s="107"/>
      <c r="G34" s="108"/>
      <c r="H34" s="4"/>
      <c r="I34" s="4"/>
      <c r="J34" s="4"/>
      <c r="K34" s="337"/>
      <c r="L34" s="338"/>
      <c r="M34" s="338"/>
      <c r="N34" s="338"/>
      <c r="O34" s="338"/>
      <c r="P34" s="339"/>
    </row>
    <row r="35" spans="1:27" s="25" customFormat="1" ht="33.75">
      <c r="A35" s="106">
        <f t="shared" si="0"/>
        <v>22</v>
      </c>
      <c r="B35" s="2" t="s">
        <v>539</v>
      </c>
      <c r="C35" s="214" t="s">
        <v>981</v>
      </c>
      <c r="D35" s="13" t="s">
        <v>30</v>
      </c>
      <c r="E35" s="215">
        <v>1</v>
      </c>
      <c r="F35" s="107"/>
      <c r="G35" s="108"/>
      <c r="H35" s="4"/>
      <c r="I35" s="4"/>
      <c r="J35" s="4"/>
      <c r="K35" s="337"/>
      <c r="L35" s="338"/>
      <c r="M35" s="338"/>
      <c r="N35" s="338"/>
      <c r="O35" s="338"/>
      <c r="P35" s="339"/>
    </row>
    <row r="36" spans="1:27" s="25" customFormat="1" ht="14.25">
      <c r="A36" s="106">
        <f t="shared" si="0"/>
        <v>23</v>
      </c>
      <c r="B36" s="2" t="s">
        <v>540</v>
      </c>
      <c r="C36" s="214"/>
      <c r="D36" s="13" t="s">
        <v>30</v>
      </c>
      <c r="E36" s="215">
        <v>1</v>
      </c>
      <c r="F36" s="107"/>
      <c r="G36" s="108"/>
      <c r="H36" s="4"/>
      <c r="I36" s="4"/>
      <c r="J36" s="4"/>
      <c r="K36" s="337"/>
      <c r="L36" s="338"/>
      <c r="M36" s="338"/>
      <c r="N36" s="338"/>
      <c r="O36" s="338"/>
      <c r="P36" s="339"/>
    </row>
    <row r="37" spans="1:27" s="25" customFormat="1" ht="14.25">
      <c r="A37" s="106">
        <f t="shared" si="0"/>
        <v>24</v>
      </c>
      <c r="B37" s="2" t="s">
        <v>229</v>
      </c>
      <c r="C37" s="214"/>
      <c r="D37" s="13" t="s">
        <v>30</v>
      </c>
      <c r="E37" s="215">
        <v>1</v>
      </c>
      <c r="F37" s="107"/>
      <c r="G37" s="108"/>
      <c r="H37" s="4"/>
      <c r="I37" s="4"/>
      <c r="J37" s="4"/>
      <c r="K37" s="337"/>
      <c r="L37" s="338"/>
      <c r="M37" s="338"/>
      <c r="N37" s="338"/>
      <c r="O37" s="338"/>
      <c r="P37" s="339"/>
    </row>
    <row r="38" spans="1:27" s="25" customFormat="1" ht="15" thickBot="1">
      <c r="A38" s="106">
        <f t="shared" si="0"/>
        <v>25</v>
      </c>
      <c r="B38" s="2" t="s">
        <v>439</v>
      </c>
      <c r="C38" s="214"/>
      <c r="D38" s="13" t="s">
        <v>30</v>
      </c>
      <c r="E38" s="215">
        <v>1</v>
      </c>
      <c r="F38" s="107"/>
      <c r="G38" s="108"/>
      <c r="H38" s="4"/>
      <c r="I38" s="4"/>
      <c r="J38" s="4"/>
      <c r="K38" s="337"/>
      <c r="L38" s="338"/>
      <c r="M38" s="338"/>
      <c r="N38" s="338"/>
      <c r="O38" s="338"/>
      <c r="P38" s="339"/>
    </row>
    <row r="39" spans="1:27" s="27" customFormat="1" ht="15.75" thickTop="1" thickBot="1">
      <c r="A39" s="39"/>
      <c r="B39" s="387" t="s">
        <v>1587</v>
      </c>
      <c r="C39" s="388"/>
      <c r="D39" s="388"/>
      <c r="E39" s="388"/>
      <c r="F39" s="388"/>
      <c r="G39" s="388"/>
      <c r="H39" s="388"/>
      <c r="I39" s="388"/>
      <c r="J39" s="388"/>
      <c r="K39" s="389"/>
      <c r="L39" s="145"/>
      <c r="M39" s="145"/>
      <c r="N39" s="145"/>
      <c r="O39" s="145"/>
      <c r="P39" s="146"/>
      <c r="Q39" s="26"/>
      <c r="R39" s="26"/>
      <c r="S39" s="26"/>
      <c r="T39" s="26"/>
      <c r="U39" s="26"/>
      <c r="V39" s="26"/>
      <c r="W39" s="26"/>
      <c r="X39" s="26"/>
      <c r="Y39" s="26"/>
      <c r="Z39" s="26"/>
      <c r="AA39" s="26"/>
    </row>
    <row r="40" spans="1:27" s="27" customFormat="1" ht="15" thickTop="1">
      <c r="A40" s="220"/>
      <c r="B40" s="220"/>
      <c r="C40" s="220"/>
      <c r="D40" s="220"/>
      <c r="E40" s="220"/>
      <c r="F40" s="220"/>
      <c r="G40" s="220"/>
      <c r="H40" s="220"/>
      <c r="I40" s="220"/>
      <c r="J40" s="220"/>
      <c r="K40" s="220"/>
      <c r="L40" s="220"/>
      <c r="M40" s="220"/>
      <c r="N40" s="220"/>
      <c r="O40" s="220"/>
      <c r="P40" s="220"/>
      <c r="Q40" s="26"/>
      <c r="R40" s="26"/>
      <c r="S40" s="26"/>
      <c r="T40" s="26"/>
      <c r="U40" s="26"/>
      <c r="V40" s="26"/>
      <c r="W40" s="26"/>
      <c r="X40" s="26"/>
      <c r="Y40" s="26"/>
      <c r="Z40" s="26"/>
      <c r="AA40" s="26"/>
    </row>
    <row r="41" spans="1:27" s="27" customFormat="1" ht="14.25">
      <c r="A41" s="220"/>
      <c r="B41" s="220"/>
      <c r="C41" s="220"/>
      <c r="D41" s="220"/>
      <c r="E41" s="220"/>
      <c r="F41" s="220"/>
      <c r="G41" s="220"/>
      <c r="H41" s="220"/>
      <c r="I41" s="220"/>
      <c r="J41" s="220"/>
      <c r="K41" s="220"/>
      <c r="L41" s="220"/>
      <c r="M41" s="220"/>
      <c r="N41" s="220"/>
      <c r="O41" s="220"/>
      <c r="P41" s="220"/>
      <c r="Q41" s="26"/>
      <c r="R41" s="26"/>
      <c r="S41" s="26"/>
      <c r="T41" s="26"/>
      <c r="U41" s="26"/>
      <c r="V41" s="26"/>
      <c r="W41" s="26"/>
      <c r="X41" s="26"/>
      <c r="Y41" s="26"/>
      <c r="Z41" s="26"/>
      <c r="AA41" s="26"/>
    </row>
    <row r="42" spans="1:27">
      <c r="B42" s="172" t="s">
        <v>209</v>
      </c>
    </row>
    <row r="43" spans="1:27">
      <c r="B43" s="172"/>
    </row>
    <row r="44" spans="1:27">
      <c r="B44" s="92">
        <f ca="1">TODAY()</f>
        <v>43206</v>
      </c>
    </row>
  </sheetData>
  <autoFilter ref="G1:G44"/>
  <mergeCells count="23">
    <mergeCell ref="B39:K39"/>
    <mergeCell ref="N8:N11"/>
    <mergeCell ref="I8:I11"/>
    <mergeCell ref="J8:J11"/>
    <mergeCell ref="K8:K11"/>
    <mergeCell ref="L8:L11"/>
    <mergeCell ref="M8:M11"/>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2"/>
  <sheetViews>
    <sheetView topLeftCell="A58" zoomScale="90" zoomScaleNormal="90" workbookViewId="0">
      <selection activeCell="B85" sqref="B85:K85"/>
    </sheetView>
  </sheetViews>
  <sheetFormatPr defaultColWidth="9.140625" defaultRowHeight="12"/>
  <cols>
    <col min="1" max="1" width="4.28515625" style="220" customWidth="1"/>
    <col min="2" max="2" width="36.28515625" style="220" customWidth="1"/>
    <col min="3" max="3" width="10.28515625" style="220" customWidth="1"/>
    <col min="4" max="5" width="7.28515625" style="220" customWidth="1"/>
    <col min="6" max="10" width="8.140625" style="220" customWidth="1"/>
    <col min="11" max="11" width="8.7109375" style="220" customWidth="1"/>
    <col min="12" max="15" width="9.140625" style="220" customWidth="1"/>
    <col min="16" max="16" width="11.140625" style="220" customWidth="1"/>
    <col min="17" max="17" width="9.28515625" style="220" customWidth="1"/>
    <col min="18" max="18" width="9.140625" style="220" customWidth="1"/>
    <col min="19" max="25" width="2.140625" style="220" customWidth="1"/>
    <col min="26" max="16384" width="9.140625" style="220"/>
  </cols>
  <sheetData>
    <row r="1" spans="1:16" s="102" customFormat="1" ht="14.25">
      <c r="A1" s="396" t="s">
        <v>227</v>
      </c>
      <c r="B1" s="396"/>
      <c r="C1" s="396"/>
      <c r="D1" s="396"/>
      <c r="E1" s="396"/>
      <c r="F1" s="396"/>
      <c r="G1" s="396"/>
      <c r="H1" s="396"/>
      <c r="I1" s="396"/>
      <c r="J1" s="396"/>
      <c r="K1" s="396"/>
      <c r="L1" s="396"/>
      <c r="M1" s="396"/>
      <c r="N1" s="396"/>
      <c r="O1" s="396"/>
      <c r="P1" s="396"/>
    </row>
    <row r="2" spans="1:16" s="102" customFormat="1" ht="14.25">
      <c r="A2" s="397" t="str">
        <f>Kopsavilkums!C32</f>
        <v>Siltummezgls</v>
      </c>
      <c r="B2" s="397"/>
      <c r="C2" s="397"/>
      <c r="D2" s="397"/>
      <c r="E2" s="397"/>
      <c r="F2" s="397"/>
      <c r="G2" s="397"/>
      <c r="H2" s="397"/>
      <c r="I2" s="397"/>
      <c r="J2" s="397"/>
      <c r="K2" s="397"/>
      <c r="L2" s="397"/>
      <c r="M2" s="397"/>
      <c r="N2" s="397"/>
      <c r="O2" s="397"/>
      <c r="P2" s="397"/>
    </row>
    <row r="3" spans="1:16" s="102" customFormat="1" ht="14.25">
      <c r="A3" s="115" t="s">
        <v>1246</v>
      </c>
      <c r="B3" s="177"/>
      <c r="C3" s="177"/>
      <c r="D3" s="177"/>
      <c r="E3" s="177"/>
      <c r="F3" s="177"/>
      <c r="G3" s="177"/>
      <c r="H3" s="177"/>
      <c r="I3" s="177"/>
      <c r="J3" s="177"/>
      <c r="K3" s="177"/>
      <c r="L3" s="177"/>
      <c r="M3" s="177"/>
      <c r="N3" s="177"/>
      <c r="O3" s="177"/>
      <c r="P3" s="177"/>
    </row>
    <row r="4" spans="1:16" s="102" customFormat="1" ht="14.25">
      <c r="A4" s="115" t="s">
        <v>307</v>
      </c>
      <c r="B4" s="177"/>
      <c r="C4" s="177"/>
      <c r="D4" s="177"/>
      <c r="E4" s="177"/>
      <c r="F4" s="177"/>
      <c r="G4" s="177"/>
      <c r="H4" s="177"/>
      <c r="I4" s="177"/>
      <c r="J4" s="177"/>
      <c r="K4" s="177"/>
      <c r="L4" s="177"/>
      <c r="M4" s="177"/>
      <c r="N4" s="177"/>
      <c r="O4" s="177"/>
      <c r="P4" s="177"/>
    </row>
    <row r="5" spans="1:16" s="102" customFormat="1" ht="14.25">
      <c r="A5" s="115" t="s">
        <v>306</v>
      </c>
      <c r="B5" s="177"/>
      <c r="C5" s="177"/>
      <c r="D5" s="177"/>
      <c r="E5" s="177"/>
      <c r="F5" s="177"/>
      <c r="G5" s="177"/>
      <c r="H5" s="177"/>
      <c r="I5" s="177"/>
      <c r="J5" s="177"/>
      <c r="K5" s="177"/>
      <c r="L5" s="177"/>
      <c r="M5" s="177"/>
      <c r="N5" s="177"/>
      <c r="O5" s="177"/>
      <c r="P5" s="177"/>
    </row>
    <row r="6" spans="1:16" s="117" customFormat="1" ht="13.5" thickBot="1">
      <c r="F6" s="133"/>
      <c r="G6" s="133"/>
      <c r="H6" s="133"/>
      <c r="I6" s="133"/>
      <c r="J6" s="133"/>
      <c r="K6" s="403" t="s">
        <v>13</v>
      </c>
      <c r="L6" s="403"/>
      <c r="M6" s="403"/>
      <c r="N6" s="403"/>
      <c r="O6" s="404" t="e">
        <f>#REF!</f>
        <v>#REF!</v>
      </c>
      <c r="P6" s="404"/>
    </row>
    <row r="7" spans="1:16" s="133" customFormat="1" ht="12.75" customHeight="1">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ustomHeight="1">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157" customFormat="1" ht="13.5" thickTop="1">
      <c r="A13" s="106"/>
      <c r="B13" s="239" t="s">
        <v>396</v>
      </c>
      <c r="C13" s="240"/>
      <c r="D13" s="241"/>
      <c r="E13" s="242"/>
      <c r="F13" s="107"/>
      <c r="G13" s="108"/>
      <c r="H13" s="4"/>
      <c r="I13" s="4"/>
      <c r="J13" s="4"/>
      <c r="K13" s="108"/>
      <c r="L13" s="108"/>
      <c r="M13" s="108"/>
      <c r="N13" s="108"/>
      <c r="O13" s="108"/>
      <c r="P13" s="109"/>
    </row>
    <row r="14" spans="1:16" s="25" customFormat="1" ht="24">
      <c r="A14" s="106">
        <f t="shared" ref="A14:A77" si="0">A13+1</f>
        <v>1</v>
      </c>
      <c r="B14" s="2" t="s">
        <v>397</v>
      </c>
      <c r="C14" s="214" t="s">
        <v>477</v>
      </c>
      <c r="D14" s="13" t="s">
        <v>30</v>
      </c>
      <c r="E14" s="215">
        <v>2</v>
      </c>
      <c r="F14" s="33"/>
      <c r="G14" s="33"/>
      <c r="H14" s="4"/>
      <c r="I14" s="4"/>
      <c r="J14" s="4"/>
      <c r="K14" s="337"/>
      <c r="L14" s="338"/>
      <c r="M14" s="338"/>
      <c r="N14" s="338"/>
      <c r="O14" s="338"/>
      <c r="P14" s="339"/>
    </row>
    <row r="15" spans="1:16" s="25" customFormat="1" ht="45">
      <c r="A15" s="106">
        <f t="shared" si="0"/>
        <v>2</v>
      </c>
      <c r="B15" s="2" t="s">
        <v>478</v>
      </c>
      <c r="C15" s="214" t="s">
        <v>399</v>
      </c>
      <c r="D15" s="13" t="s">
        <v>30</v>
      </c>
      <c r="E15" s="215">
        <v>2</v>
      </c>
      <c r="F15" s="33"/>
      <c r="G15" s="33"/>
      <c r="H15" s="4"/>
      <c r="I15" s="4"/>
      <c r="J15" s="4"/>
      <c r="K15" s="337"/>
      <c r="L15" s="338"/>
      <c r="M15" s="338"/>
      <c r="N15" s="338"/>
      <c r="O15" s="338"/>
      <c r="P15" s="339"/>
    </row>
    <row r="16" spans="1:16" s="25" customFormat="1" ht="45">
      <c r="A16" s="106">
        <f t="shared" si="0"/>
        <v>3</v>
      </c>
      <c r="B16" s="2" t="s">
        <v>479</v>
      </c>
      <c r="C16" s="214" t="s">
        <v>400</v>
      </c>
      <c r="D16" s="13" t="s">
        <v>30</v>
      </c>
      <c r="E16" s="215">
        <v>1</v>
      </c>
      <c r="F16" s="33"/>
      <c r="G16" s="33"/>
      <c r="H16" s="4"/>
      <c r="I16" s="4"/>
      <c r="J16" s="4"/>
      <c r="K16" s="337"/>
      <c r="L16" s="338"/>
      <c r="M16" s="338"/>
      <c r="N16" s="338"/>
      <c r="O16" s="338"/>
      <c r="P16" s="339"/>
    </row>
    <row r="17" spans="1:16" s="25" customFormat="1" ht="45">
      <c r="A17" s="106">
        <f t="shared" si="0"/>
        <v>4</v>
      </c>
      <c r="B17" s="2" t="s">
        <v>480</v>
      </c>
      <c r="C17" s="214" t="s">
        <v>401</v>
      </c>
      <c r="D17" s="13" t="s">
        <v>30</v>
      </c>
      <c r="E17" s="215">
        <v>1</v>
      </c>
      <c r="F17" s="33"/>
      <c r="G17" s="33"/>
      <c r="H17" s="4"/>
      <c r="I17" s="4"/>
      <c r="J17" s="4"/>
      <c r="K17" s="337"/>
      <c r="L17" s="338"/>
      <c r="M17" s="338"/>
      <c r="N17" s="338"/>
      <c r="O17" s="338"/>
      <c r="P17" s="339"/>
    </row>
    <row r="18" spans="1:16" s="25" customFormat="1" ht="45">
      <c r="A18" s="106">
        <f t="shared" si="0"/>
        <v>5</v>
      </c>
      <c r="B18" s="2" t="s">
        <v>481</v>
      </c>
      <c r="C18" s="214" t="s">
        <v>402</v>
      </c>
      <c r="D18" s="13" t="s">
        <v>30</v>
      </c>
      <c r="E18" s="215">
        <v>1</v>
      </c>
      <c r="F18" s="33"/>
      <c r="G18" s="33"/>
      <c r="H18" s="4"/>
      <c r="I18" s="4"/>
      <c r="J18" s="4"/>
      <c r="K18" s="337"/>
      <c r="L18" s="338"/>
      <c r="M18" s="338"/>
      <c r="N18" s="338"/>
      <c r="O18" s="338"/>
      <c r="P18" s="339"/>
    </row>
    <row r="19" spans="1:16" s="25" customFormat="1" ht="45">
      <c r="A19" s="106">
        <f t="shared" si="0"/>
        <v>6</v>
      </c>
      <c r="B19" s="2" t="s">
        <v>482</v>
      </c>
      <c r="C19" s="214" t="s">
        <v>403</v>
      </c>
      <c r="D19" s="13" t="s">
        <v>30</v>
      </c>
      <c r="E19" s="215">
        <v>1</v>
      </c>
      <c r="F19" s="33"/>
      <c r="G19" s="33"/>
      <c r="H19" s="4"/>
      <c r="I19" s="4"/>
      <c r="J19" s="4"/>
      <c r="K19" s="337"/>
      <c r="L19" s="338"/>
      <c r="M19" s="338"/>
      <c r="N19" s="338"/>
      <c r="O19" s="338"/>
      <c r="P19" s="339"/>
    </row>
    <row r="20" spans="1:16" s="25" customFormat="1" ht="33.75">
      <c r="A20" s="106">
        <f t="shared" si="0"/>
        <v>7</v>
      </c>
      <c r="B20" s="2" t="s">
        <v>404</v>
      </c>
      <c r="C20" s="214" t="s">
        <v>474</v>
      </c>
      <c r="D20" s="13" t="s">
        <v>30</v>
      </c>
      <c r="E20" s="215">
        <v>1</v>
      </c>
      <c r="F20" s="9"/>
      <c r="G20" s="33"/>
      <c r="H20" s="4"/>
      <c r="I20" s="4"/>
      <c r="J20" s="4"/>
      <c r="K20" s="337"/>
      <c r="L20" s="338"/>
      <c r="M20" s="338"/>
      <c r="N20" s="338"/>
      <c r="O20" s="338"/>
      <c r="P20" s="339"/>
    </row>
    <row r="21" spans="1:16" s="25" customFormat="1" ht="14.25">
      <c r="A21" s="106">
        <f t="shared" si="0"/>
        <v>8</v>
      </c>
      <c r="B21" s="2" t="s">
        <v>405</v>
      </c>
      <c r="C21" s="214" t="s">
        <v>398</v>
      </c>
      <c r="D21" s="13" t="s">
        <v>30</v>
      </c>
      <c r="E21" s="215">
        <v>1</v>
      </c>
      <c r="F21" s="9"/>
      <c r="G21" s="33"/>
      <c r="H21" s="4"/>
      <c r="I21" s="4"/>
      <c r="J21" s="4"/>
      <c r="K21" s="337"/>
      <c r="L21" s="338"/>
      <c r="M21" s="338"/>
      <c r="N21" s="338"/>
      <c r="O21" s="338"/>
      <c r="P21" s="339"/>
    </row>
    <row r="22" spans="1:16" s="25" customFormat="1" ht="22.5">
      <c r="A22" s="106">
        <f t="shared" si="0"/>
        <v>9</v>
      </c>
      <c r="B22" s="2" t="s">
        <v>406</v>
      </c>
      <c r="C22" s="214" t="s">
        <v>475</v>
      </c>
      <c r="D22" s="13" t="s">
        <v>30</v>
      </c>
      <c r="E22" s="215">
        <v>1</v>
      </c>
      <c r="F22" s="33"/>
      <c r="G22" s="33"/>
      <c r="H22" s="4"/>
      <c r="I22" s="4"/>
      <c r="J22" s="4"/>
      <c r="K22" s="337"/>
      <c r="L22" s="338"/>
      <c r="M22" s="338"/>
      <c r="N22" s="338"/>
      <c r="O22" s="338"/>
      <c r="P22" s="339"/>
    </row>
    <row r="23" spans="1:16" s="25" customFormat="1" ht="22.5">
      <c r="A23" s="106">
        <f t="shared" si="0"/>
        <v>10</v>
      </c>
      <c r="B23" s="2" t="s">
        <v>406</v>
      </c>
      <c r="C23" s="214" t="s">
        <v>476</v>
      </c>
      <c r="D23" s="13" t="s">
        <v>30</v>
      </c>
      <c r="E23" s="215">
        <v>1</v>
      </c>
      <c r="F23" s="33"/>
      <c r="G23" s="33"/>
      <c r="H23" s="4"/>
      <c r="I23" s="4"/>
      <c r="J23" s="4"/>
      <c r="K23" s="337"/>
      <c r="L23" s="338"/>
      <c r="M23" s="338"/>
      <c r="N23" s="338"/>
      <c r="O23" s="338"/>
      <c r="P23" s="339"/>
    </row>
    <row r="24" spans="1:16" s="25" customFormat="1" ht="14.25">
      <c r="A24" s="106">
        <f t="shared" si="0"/>
        <v>11</v>
      </c>
      <c r="B24" s="2" t="s">
        <v>407</v>
      </c>
      <c r="C24" s="214" t="s">
        <v>408</v>
      </c>
      <c r="D24" s="13" t="s">
        <v>29</v>
      </c>
      <c r="E24" s="215">
        <v>5</v>
      </c>
      <c r="F24" s="33"/>
      <c r="G24" s="33"/>
      <c r="H24" s="4"/>
      <c r="I24" s="4"/>
      <c r="J24" s="4"/>
      <c r="K24" s="337"/>
      <c r="L24" s="338"/>
      <c r="M24" s="338"/>
      <c r="N24" s="338"/>
      <c r="O24" s="338"/>
      <c r="P24" s="339"/>
    </row>
    <row r="25" spans="1:16" s="25" customFormat="1" ht="14.25">
      <c r="A25" s="106">
        <f t="shared" si="0"/>
        <v>12</v>
      </c>
      <c r="B25" s="2" t="s">
        <v>407</v>
      </c>
      <c r="C25" s="214" t="s">
        <v>409</v>
      </c>
      <c r="D25" s="13" t="s">
        <v>29</v>
      </c>
      <c r="E25" s="215">
        <v>8</v>
      </c>
      <c r="F25" s="33"/>
      <c r="G25" s="33"/>
      <c r="H25" s="4"/>
      <c r="I25" s="4"/>
      <c r="J25" s="4"/>
      <c r="K25" s="337"/>
      <c r="L25" s="338"/>
      <c r="M25" s="338"/>
      <c r="N25" s="338"/>
      <c r="O25" s="338"/>
      <c r="P25" s="339"/>
    </row>
    <row r="26" spans="1:16" s="25" customFormat="1" ht="14.25">
      <c r="A26" s="106">
        <f t="shared" si="0"/>
        <v>13</v>
      </c>
      <c r="B26" s="2" t="s">
        <v>407</v>
      </c>
      <c r="C26" s="214" t="s">
        <v>410</v>
      </c>
      <c r="D26" s="13" t="s">
        <v>29</v>
      </c>
      <c r="E26" s="215">
        <v>14</v>
      </c>
      <c r="F26" s="33"/>
      <c r="G26" s="33"/>
      <c r="H26" s="4"/>
      <c r="I26" s="4"/>
      <c r="J26" s="4"/>
      <c r="K26" s="337"/>
      <c r="L26" s="338"/>
      <c r="M26" s="338"/>
      <c r="N26" s="338"/>
      <c r="O26" s="338"/>
      <c r="P26" s="339"/>
    </row>
    <row r="27" spans="1:16" s="25" customFormat="1" ht="14.25">
      <c r="A27" s="106">
        <f t="shared" si="0"/>
        <v>14</v>
      </c>
      <c r="B27" s="2" t="s">
        <v>411</v>
      </c>
      <c r="C27" s="214" t="s">
        <v>408</v>
      </c>
      <c r="D27" s="13" t="s">
        <v>29</v>
      </c>
      <c r="E27" s="215">
        <v>2</v>
      </c>
      <c r="F27" s="33"/>
      <c r="G27" s="33"/>
      <c r="H27" s="4"/>
      <c r="I27" s="4"/>
      <c r="J27" s="4"/>
      <c r="K27" s="337"/>
      <c r="L27" s="338"/>
      <c r="M27" s="338"/>
      <c r="N27" s="338"/>
      <c r="O27" s="338"/>
      <c r="P27" s="339"/>
    </row>
    <row r="28" spans="1:16" s="25" customFormat="1" ht="14.25">
      <c r="A28" s="106">
        <f t="shared" si="0"/>
        <v>15</v>
      </c>
      <c r="B28" s="2" t="s">
        <v>412</v>
      </c>
      <c r="C28" s="214" t="s">
        <v>408</v>
      </c>
      <c r="D28" s="13" t="s">
        <v>29</v>
      </c>
      <c r="E28" s="215">
        <v>3</v>
      </c>
      <c r="F28" s="33"/>
      <c r="G28" s="33"/>
      <c r="H28" s="4"/>
      <c r="I28" s="4"/>
      <c r="J28" s="4"/>
      <c r="K28" s="337"/>
      <c r="L28" s="338"/>
      <c r="M28" s="338"/>
      <c r="N28" s="338"/>
      <c r="O28" s="338"/>
      <c r="P28" s="339"/>
    </row>
    <row r="29" spans="1:16" s="25" customFormat="1" ht="14.25">
      <c r="A29" s="106">
        <f t="shared" si="0"/>
        <v>16</v>
      </c>
      <c r="B29" s="2" t="s">
        <v>412</v>
      </c>
      <c r="C29" s="214" t="s">
        <v>409</v>
      </c>
      <c r="D29" s="13" t="s">
        <v>29</v>
      </c>
      <c r="E29" s="215">
        <v>3</v>
      </c>
      <c r="F29" s="33"/>
      <c r="G29" s="33"/>
      <c r="H29" s="4"/>
      <c r="I29" s="4"/>
      <c r="J29" s="4"/>
      <c r="K29" s="337"/>
      <c r="L29" s="338"/>
      <c r="M29" s="338"/>
      <c r="N29" s="338"/>
      <c r="O29" s="338"/>
      <c r="P29" s="339"/>
    </row>
    <row r="30" spans="1:16" s="25" customFormat="1" ht="14.25">
      <c r="A30" s="106">
        <f t="shared" si="0"/>
        <v>17</v>
      </c>
      <c r="B30" s="2" t="s">
        <v>412</v>
      </c>
      <c r="C30" s="214" t="s">
        <v>410</v>
      </c>
      <c r="D30" s="13" t="s">
        <v>29</v>
      </c>
      <c r="E30" s="215">
        <v>2</v>
      </c>
      <c r="F30" s="33"/>
      <c r="G30" s="33"/>
      <c r="H30" s="4"/>
      <c r="I30" s="4"/>
      <c r="J30" s="4"/>
      <c r="K30" s="337"/>
      <c r="L30" s="338"/>
      <c r="M30" s="338"/>
      <c r="N30" s="338"/>
      <c r="O30" s="338"/>
      <c r="P30" s="339"/>
    </row>
    <row r="31" spans="1:16" s="25" customFormat="1" ht="33.75">
      <c r="A31" s="106">
        <f t="shared" si="0"/>
        <v>18</v>
      </c>
      <c r="B31" s="2" t="s">
        <v>413</v>
      </c>
      <c r="C31" s="214" t="s">
        <v>473</v>
      </c>
      <c r="D31" s="13" t="s">
        <v>30</v>
      </c>
      <c r="E31" s="215">
        <v>1</v>
      </c>
      <c r="F31" s="9"/>
      <c r="G31" s="33"/>
      <c r="H31" s="4"/>
      <c r="I31" s="4"/>
      <c r="J31" s="4"/>
      <c r="K31" s="337"/>
      <c r="L31" s="338"/>
      <c r="M31" s="338"/>
      <c r="N31" s="338"/>
      <c r="O31" s="338"/>
      <c r="P31" s="339"/>
    </row>
    <row r="32" spans="1:16" s="25" customFormat="1" ht="14.25">
      <c r="A32" s="106">
        <f t="shared" si="0"/>
        <v>19</v>
      </c>
      <c r="B32" s="2" t="s">
        <v>414</v>
      </c>
      <c r="C32" s="214" t="s">
        <v>415</v>
      </c>
      <c r="D32" s="13" t="s">
        <v>29</v>
      </c>
      <c r="E32" s="215">
        <v>3</v>
      </c>
      <c r="F32" s="33"/>
      <c r="G32" s="33"/>
      <c r="H32" s="4"/>
      <c r="I32" s="4"/>
      <c r="J32" s="4"/>
      <c r="K32" s="337"/>
      <c r="L32" s="338"/>
      <c r="M32" s="338"/>
      <c r="N32" s="338"/>
      <c r="O32" s="338"/>
      <c r="P32" s="339"/>
    </row>
    <row r="33" spans="1:16" s="25" customFormat="1" ht="14.25">
      <c r="A33" s="106">
        <f t="shared" si="0"/>
        <v>20</v>
      </c>
      <c r="B33" s="2" t="s">
        <v>228</v>
      </c>
      <c r="C33" s="214" t="s">
        <v>415</v>
      </c>
      <c r="D33" s="13" t="s">
        <v>29</v>
      </c>
      <c r="E33" s="215">
        <v>2</v>
      </c>
      <c r="F33" s="107"/>
      <c r="G33" s="108"/>
      <c r="H33" s="4"/>
      <c r="I33" s="4"/>
      <c r="J33" s="4"/>
      <c r="K33" s="337"/>
      <c r="L33" s="338"/>
      <c r="M33" s="338"/>
      <c r="N33" s="338"/>
      <c r="O33" s="338"/>
      <c r="P33" s="339"/>
    </row>
    <row r="34" spans="1:16" s="25" customFormat="1" ht="14.25">
      <c r="A34" s="106">
        <f t="shared" si="0"/>
        <v>21</v>
      </c>
      <c r="B34" s="2" t="s">
        <v>416</v>
      </c>
      <c r="C34" s="214" t="s">
        <v>417</v>
      </c>
      <c r="D34" s="13" t="s">
        <v>29</v>
      </c>
      <c r="E34" s="215">
        <v>2</v>
      </c>
      <c r="F34" s="33"/>
      <c r="G34" s="33"/>
      <c r="H34" s="4"/>
      <c r="I34" s="4"/>
      <c r="J34" s="4"/>
      <c r="K34" s="337"/>
      <c r="L34" s="338"/>
      <c r="M34" s="338"/>
      <c r="N34" s="338"/>
      <c r="O34" s="338"/>
      <c r="P34" s="339"/>
    </row>
    <row r="35" spans="1:16" s="25" customFormat="1" ht="14.25">
      <c r="A35" s="106">
        <f t="shared" si="0"/>
        <v>22</v>
      </c>
      <c r="B35" s="2" t="s">
        <v>416</v>
      </c>
      <c r="C35" s="214" t="s">
        <v>418</v>
      </c>
      <c r="D35" s="13" t="s">
        <v>29</v>
      </c>
      <c r="E35" s="215">
        <v>1</v>
      </c>
      <c r="F35" s="33"/>
      <c r="G35" s="33"/>
      <c r="H35" s="4"/>
      <c r="I35" s="4"/>
      <c r="J35" s="4"/>
      <c r="K35" s="337"/>
      <c r="L35" s="338"/>
      <c r="M35" s="338"/>
      <c r="N35" s="338"/>
      <c r="O35" s="338"/>
      <c r="P35" s="339"/>
    </row>
    <row r="36" spans="1:16" s="25" customFormat="1" ht="14.25">
      <c r="A36" s="106">
        <f t="shared" si="0"/>
        <v>23</v>
      </c>
      <c r="B36" s="2" t="s">
        <v>416</v>
      </c>
      <c r="C36" s="214" t="s">
        <v>419</v>
      </c>
      <c r="D36" s="13" t="s">
        <v>29</v>
      </c>
      <c r="E36" s="215">
        <v>2</v>
      </c>
      <c r="F36" s="33"/>
      <c r="G36" s="33"/>
      <c r="H36" s="4"/>
      <c r="I36" s="4"/>
      <c r="J36" s="4"/>
      <c r="K36" s="337"/>
      <c r="L36" s="338"/>
      <c r="M36" s="338"/>
      <c r="N36" s="338"/>
      <c r="O36" s="338"/>
      <c r="P36" s="339"/>
    </row>
    <row r="37" spans="1:16" s="25" customFormat="1" ht="33.75">
      <c r="A37" s="106">
        <f t="shared" si="0"/>
        <v>24</v>
      </c>
      <c r="B37" s="2" t="s">
        <v>420</v>
      </c>
      <c r="C37" s="214" t="s">
        <v>472</v>
      </c>
      <c r="D37" s="13" t="s">
        <v>30</v>
      </c>
      <c r="E37" s="215">
        <v>1</v>
      </c>
      <c r="F37" s="107"/>
      <c r="G37" s="108"/>
      <c r="H37" s="4"/>
      <c r="I37" s="4"/>
      <c r="J37" s="4"/>
      <c r="K37" s="337"/>
      <c r="L37" s="338"/>
      <c r="M37" s="338"/>
      <c r="N37" s="338"/>
      <c r="O37" s="338"/>
      <c r="P37" s="339"/>
    </row>
    <row r="38" spans="1:16" s="25" customFormat="1" ht="24">
      <c r="A38" s="106">
        <f t="shared" si="0"/>
        <v>25</v>
      </c>
      <c r="B38" s="2" t="s">
        <v>421</v>
      </c>
      <c r="C38" s="214" t="s">
        <v>422</v>
      </c>
      <c r="D38" s="13" t="s">
        <v>42</v>
      </c>
      <c r="E38" s="14">
        <v>10</v>
      </c>
      <c r="F38" s="9"/>
      <c r="G38" s="108"/>
      <c r="H38" s="4"/>
      <c r="I38" s="4"/>
      <c r="J38" s="4"/>
      <c r="K38" s="337"/>
      <c r="L38" s="338"/>
      <c r="M38" s="338"/>
      <c r="N38" s="338"/>
      <c r="O38" s="338"/>
      <c r="P38" s="339"/>
    </row>
    <row r="39" spans="1:16" s="25" customFormat="1" ht="24">
      <c r="A39" s="106">
        <f t="shared" si="0"/>
        <v>26</v>
      </c>
      <c r="B39" s="2" t="s">
        <v>421</v>
      </c>
      <c r="C39" s="214" t="s">
        <v>423</v>
      </c>
      <c r="D39" s="13" t="s">
        <v>42</v>
      </c>
      <c r="E39" s="14">
        <v>8</v>
      </c>
      <c r="F39" s="9"/>
      <c r="G39" s="108"/>
      <c r="H39" s="4"/>
      <c r="I39" s="4"/>
      <c r="J39" s="4"/>
      <c r="K39" s="337"/>
      <c r="L39" s="338"/>
      <c r="M39" s="338"/>
      <c r="N39" s="338"/>
      <c r="O39" s="338"/>
      <c r="P39" s="339"/>
    </row>
    <row r="40" spans="1:16" s="25" customFormat="1" ht="24">
      <c r="A40" s="106">
        <f t="shared" si="0"/>
        <v>27</v>
      </c>
      <c r="B40" s="2" t="s">
        <v>421</v>
      </c>
      <c r="C40" s="214" t="s">
        <v>424</v>
      </c>
      <c r="D40" s="13" t="s">
        <v>42</v>
      </c>
      <c r="E40" s="14">
        <v>20</v>
      </c>
      <c r="F40" s="9"/>
      <c r="G40" s="108"/>
      <c r="H40" s="4"/>
      <c r="I40" s="4"/>
      <c r="J40" s="4"/>
      <c r="K40" s="337"/>
      <c r="L40" s="338"/>
      <c r="M40" s="338"/>
      <c r="N40" s="338"/>
      <c r="O40" s="338"/>
      <c r="P40" s="339"/>
    </row>
    <row r="41" spans="1:16" s="25" customFormat="1" ht="24">
      <c r="A41" s="106">
        <f t="shared" si="0"/>
        <v>28</v>
      </c>
      <c r="B41" s="2" t="s">
        <v>421</v>
      </c>
      <c r="C41" s="214" t="s">
        <v>425</v>
      </c>
      <c r="D41" s="13" t="s">
        <v>42</v>
      </c>
      <c r="E41" s="14">
        <v>2</v>
      </c>
      <c r="F41" s="9"/>
      <c r="G41" s="108"/>
      <c r="H41" s="4"/>
      <c r="I41" s="4"/>
      <c r="J41" s="4"/>
      <c r="K41" s="337"/>
      <c r="L41" s="338"/>
      <c r="M41" s="338"/>
      <c r="N41" s="338"/>
      <c r="O41" s="338"/>
      <c r="P41" s="339"/>
    </row>
    <row r="42" spans="1:16" s="25" customFormat="1" ht="24">
      <c r="A42" s="106">
        <f t="shared" si="0"/>
        <v>29</v>
      </c>
      <c r="B42" s="2" t="s">
        <v>421</v>
      </c>
      <c r="C42" s="214" t="s">
        <v>426</v>
      </c>
      <c r="D42" s="13" t="s">
        <v>42</v>
      </c>
      <c r="E42" s="14">
        <v>1.8</v>
      </c>
      <c r="F42" s="9"/>
      <c r="G42" s="108"/>
      <c r="H42" s="4"/>
      <c r="I42" s="4"/>
      <c r="J42" s="4"/>
      <c r="K42" s="337"/>
      <c r="L42" s="338"/>
      <c r="M42" s="338"/>
      <c r="N42" s="338"/>
      <c r="O42" s="338"/>
      <c r="P42" s="339"/>
    </row>
    <row r="43" spans="1:16" s="25" customFormat="1" ht="14.25">
      <c r="A43" s="106">
        <f t="shared" si="0"/>
        <v>30</v>
      </c>
      <c r="B43" s="2" t="s">
        <v>992</v>
      </c>
      <c r="C43" s="214" t="s">
        <v>467</v>
      </c>
      <c r="D43" s="13" t="s">
        <v>42</v>
      </c>
      <c r="E43" s="14">
        <v>10</v>
      </c>
      <c r="F43" s="33"/>
      <c r="G43" s="108"/>
      <c r="H43" s="4"/>
      <c r="I43" s="4"/>
      <c r="J43" s="4"/>
      <c r="K43" s="337"/>
      <c r="L43" s="338"/>
      <c r="M43" s="338"/>
      <c r="N43" s="338"/>
      <c r="O43" s="338"/>
      <c r="P43" s="339"/>
    </row>
    <row r="44" spans="1:16" s="25" customFormat="1" ht="14.25">
      <c r="A44" s="106">
        <f t="shared" si="0"/>
        <v>31</v>
      </c>
      <c r="B44" s="2" t="s">
        <v>992</v>
      </c>
      <c r="C44" s="214" t="s">
        <v>468</v>
      </c>
      <c r="D44" s="13" t="s">
        <v>42</v>
      </c>
      <c r="E44" s="14">
        <v>8</v>
      </c>
      <c r="F44" s="33"/>
      <c r="G44" s="108"/>
      <c r="H44" s="4"/>
      <c r="I44" s="4"/>
      <c r="J44" s="4"/>
      <c r="K44" s="337"/>
      <c r="L44" s="338"/>
      <c r="M44" s="338"/>
      <c r="N44" s="338"/>
      <c r="O44" s="338"/>
      <c r="P44" s="339"/>
    </row>
    <row r="45" spans="1:16" s="25" customFormat="1" ht="14.25">
      <c r="A45" s="106">
        <f t="shared" si="0"/>
        <v>32</v>
      </c>
      <c r="B45" s="2" t="s">
        <v>992</v>
      </c>
      <c r="C45" s="214" t="s">
        <v>469</v>
      </c>
      <c r="D45" s="13" t="s">
        <v>42</v>
      </c>
      <c r="E45" s="14">
        <v>20</v>
      </c>
      <c r="F45" s="33"/>
      <c r="G45" s="108"/>
      <c r="H45" s="4"/>
      <c r="I45" s="4"/>
      <c r="J45" s="4"/>
      <c r="K45" s="337"/>
      <c r="L45" s="338"/>
      <c r="M45" s="338"/>
      <c r="N45" s="338"/>
      <c r="O45" s="338"/>
      <c r="P45" s="339"/>
    </row>
    <row r="46" spans="1:16" s="25" customFormat="1" ht="14.25">
      <c r="A46" s="106">
        <f t="shared" si="0"/>
        <v>33</v>
      </c>
      <c r="B46" s="2" t="s">
        <v>992</v>
      </c>
      <c r="C46" s="214" t="s">
        <v>470</v>
      </c>
      <c r="D46" s="13" t="s">
        <v>42</v>
      </c>
      <c r="E46" s="14">
        <v>2</v>
      </c>
      <c r="F46" s="33"/>
      <c r="G46" s="108"/>
      <c r="H46" s="4"/>
      <c r="I46" s="4"/>
      <c r="J46" s="4"/>
      <c r="K46" s="337"/>
      <c r="L46" s="338"/>
      <c r="M46" s="338"/>
      <c r="N46" s="338"/>
      <c r="O46" s="338"/>
      <c r="P46" s="339"/>
    </row>
    <row r="47" spans="1:16" s="25" customFormat="1" ht="14.25">
      <c r="A47" s="106">
        <f t="shared" si="0"/>
        <v>34</v>
      </c>
      <c r="B47" s="2" t="s">
        <v>992</v>
      </c>
      <c r="C47" s="214" t="s">
        <v>471</v>
      </c>
      <c r="D47" s="13" t="s">
        <v>42</v>
      </c>
      <c r="E47" s="14">
        <v>1.6</v>
      </c>
      <c r="F47" s="33"/>
      <c r="G47" s="108"/>
      <c r="H47" s="4"/>
      <c r="I47" s="4"/>
      <c r="J47" s="4"/>
      <c r="K47" s="337"/>
      <c r="L47" s="338"/>
      <c r="M47" s="338"/>
      <c r="N47" s="338"/>
      <c r="O47" s="338"/>
      <c r="P47" s="339"/>
    </row>
    <row r="48" spans="1:16" s="25" customFormat="1" ht="14.25">
      <c r="A48" s="106">
        <f t="shared" si="0"/>
        <v>35</v>
      </c>
      <c r="B48" s="2" t="s">
        <v>427</v>
      </c>
      <c r="C48" s="214" t="s">
        <v>452</v>
      </c>
      <c r="D48" s="13" t="s">
        <v>29</v>
      </c>
      <c r="E48" s="215">
        <v>6</v>
      </c>
      <c r="F48" s="9"/>
      <c r="G48" s="33"/>
      <c r="H48" s="4"/>
      <c r="I48" s="4"/>
      <c r="J48" s="4"/>
      <c r="K48" s="337"/>
      <c r="L48" s="338"/>
      <c r="M48" s="338"/>
      <c r="N48" s="338"/>
      <c r="O48" s="338"/>
      <c r="P48" s="339"/>
    </row>
    <row r="49" spans="1:16" s="25" customFormat="1" ht="14.25">
      <c r="A49" s="106">
        <f t="shared" si="0"/>
        <v>36</v>
      </c>
      <c r="B49" s="2" t="s">
        <v>427</v>
      </c>
      <c r="C49" s="214" t="s">
        <v>453</v>
      </c>
      <c r="D49" s="13" t="s">
        <v>29</v>
      </c>
      <c r="E49" s="215">
        <v>5</v>
      </c>
      <c r="F49" s="9"/>
      <c r="G49" s="33"/>
      <c r="H49" s="4"/>
      <c r="I49" s="4"/>
      <c r="J49" s="4"/>
      <c r="K49" s="337"/>
      <c r="L49" s="338"/>
      <c r="M49" s="338"/>
      <c r="N49" s="338"/>
      <c r="O49" s="338"/>
      <c r="P49" s="339"/>
    </row>
    <row r="50" spans="1:16" s="25" customFormat="1" ht="14.25">
      <c r="A50" s="106">
        <f t="shared" si="0"/>
        <v>37</v>
      </c>
      <c r="B50" s="2" t="s">
        <v>427</v>
      </c>
      <c r="C50" s="214" t="s">
        <v>454</v>
      </c>
      <c r="D50" s="13" t="s">
        <v>29</v>
      </c>
      <c r="E50" s="215">
        <v>11</v>
      </c>
      <c r="F50" s="9"/>
      <c r="G50" s="33"/>
      <c r="H50" s="4"/>
      <c r="I50" s="4"/>
      <c r="J50" s="4"/>
      <c r="K50" s="337"/>
      <c r="L50" s="338"/>
      <c r="M50" s="338"/>
      <c r="N50" s="338"/>
      <c r="O50" s="338"/>
      <c r="P50" s="339"/>
    </row>
    <row r="51" spans="1:16" s="25" customFormat="1" ht="14.25">
      <c r="A51" s="106">
        <f t="shared" si="0"/>
        <v>38</v>
      </c>
      <c r="B51" s="2" t="s">
        <v>427</v>
      </c>
      <c r="C51" s="214" t="s">
        <v>455</v>
      </c>
      <c r="D51" s="13" t="s">
        <v>29</v>
      </c>
      <c r="E51" s="215">
        <v>2</v>
      </c>
      <c r="F51" s="9"/>
      <c r="G51" s="33"/>
      <c r="H51" s="4"/>
      <c r="I51" s="4"/>
      <c r="J51" s="4"/>
      <c r="K51" s="337"/>
      <c r="L51" s="338"/>
      <c r="M51" s="338"/>
      <c r="N51" s="338"/>
      <c r="O51" s="338"/>
      <c r="P51" s="339"/>
    </row>
    <row r="52" spans="1:16" s="25" customFormat="1" ht="14.25">
      <c r="A52" s="106">
        <f t="shared" si="0"/>
        <v>39</v>
      </c>
      <c r="B52" s="2" t="s">
        <v>428</v>
      </c>
      <c r="C52" s="214" t="s">
        <v>988</v>
      </c>
      <c r="D52" s="13" t="s">
        <v>29</v>
      </c>
      <c r="E52" s="215">
        <v>2</v>
      </c>
      <c r="F52" s="9"/>
      <c r="G52" s="33"/>
      <c r="H52" s="4"/>
      <c r="I52" s="4"/>
      <c r="J52" s="4"/>
      <c r="K52" s="337"/>
      <c r="L52" s="338"/>
      <c r="M52" s="338"/>
      <c r="N52" s="338"/>
      <c r="O52" s="338"/>
      <c r="P52" s="339"/>
    </row>
    <row r="53" spans="1:16" s="25" customFormat="1" ht="14.25">
      <c r="A53" s="106">
        <f t="shared" si="0"/>
        <v>40</v>
      </c>
      <c r="B53" s="2" t="s">
        <v>429</v>
      </c>
      <c r="C53" s="214" t="s">
        <v>989</v>
      </c>
      <c r="D53" s="13" t="s">
        <v>29</v>
      </c>
      <c r="E53" s="215">
        <v>2</v>
      </c>
      <c r="F53" s="9"/>
      <c r="G53" s="33"/>
      <c r="H53" s="4"/>
      <c r="I53" s="4"/>
      <c r="J53" s="4"/>
      <c r="K53" s="337"/>
      <c r="L53" s="338"/>
      <c r="M53" s="338"/>
      <c r="N53" s="338"/>
      <c r="O53" s="338"/>
      <c r="P53" s="339"/>
    </row>
    <row r="54" spans="1:16" s="25" customFormat="1" ht="14.25">
      <c r="A54" s="106">
        <f t="shared" si="0"/>
        <v>41</v>
      </c>
      <c r="B54" s="2" t="s">
        <v>429</v>
      </c>
      <c r="C54" s="214" t="s">
        <v>990</v>
      </c>
      <c r="D54" s="13" t="s">
        <v>29</v>
      </c>
      <c r="E54" s="215">
        <v>2</v>
      </c>
      <c r="F54" s="9"/>
      <c r="G54" s="33"/>
      <c r="H54" s="4"/>
      <c r="I54" s="4"/>
      <c r="J54" s="4"/>
      <c r="K54" s="337"/>
      <c r="L54" s="338"/>
      <c r="M54" s="338"/>
      <c r="N54" s="338"/>
      <c r="O54" s="338"/>
      <c r="P54" s="339"/>
    </row>
    <row r="55" spans="1:16" s="25" customFormat="1" ht="14.25">
      <c r="A55" s="106">
        <f t="shared" si="0"/>
        <v>42</v>
      </c>
      <c r="B55" s="2" t="s">
        <v>429</v>
      </c>
      <c r="C55" s="214" t="s">
        <v>991</v>
      </c>
      <c r="D55" s="13" t="s">
        <v>29</v>
      </c>
      <c r="E55" s="215">
        <v>2</v>
      </c>
      <c r="F55" s="9"/>
      <c r="G55" s="33"/>
      <c r="H55" s="4"/>
      <c r="I55" s="4"/>
      <c r="J55" s="4"/>
      <c r="K55" s="337"/>
      <c r="L55" s="338"/>
      <c r="M55" s="338"/>
      <c r="N55" s="338"/>
      <c r="O55" s="338"/>
      <c r="P55" s="339"/>
    </row>
    <row r="56" spans="1:16" s="25" customFormat="1" ht="14.25">
      <c r="A56" s="106">
        <f t="shared" si="0"/>
        <v>43</v>
      </c>
      <c r="B56" s="2" t="s">
        <v>430</v>
      </c>
      <c r="C56" s="214" t="s">
        <v>431</v>
      </c>
      <c r="D56" s="13" t="s">
        <v>83</v>
      </c>
      <c r="E56" s="9">
        <v>1</v>
      </c>
      <c r="F56" s="33"/>
      <c r="G56" s="4"/>
      <c r="H56" s="4"/>
      <c r="I56" s="4"/>
      <c r="J56" s="4"/>
      <c r="K56" s="337"/>
      <c r="L56" s="338"/>
      <c r="M56" s="338"/>
      <c r="N56" s="338"/>
      <c r="O56" s="338"/>
      <c r="P56" s="339"/>
    </row>
    <row r="57" spans="1:16" s="25" customFormat="1" ht="14.25">
      <c r="A57" s="106">
        <f t="shared" si="0"/>
        <v>44</v>
      </c>
      <c r="B57" s="2" t="s">
        <v>1103</v>
      </c>
      <c r="C57" s="214"/>
      <c r="D57" s="13" t="s">
        <v>83</v>
      </c>
      <c r="E57" s="9">
        <v>1.5</v>
      </c>
      <c r="F57" s="33"/>
      <c r="G57" s="4"/>
      <c r="H57" s="4"/>
      <c r="I57" s="4"/>
      <c r="J57" s="4"/>
      <c r="K57" s="337"/>
      <c r="L57" s="338"/>
      <c r="M57" s="338"/>
      <c r="N57" s="338"/>
      <c r="O57" s="338"/>
      <c r="P57" s="339"/>
    </row>
    <row r="58" spans="1:16" s="25" customFormat="1" ht="14.25">
      <c r="A58" s="106">
        <f t="shared" si="0"/>
        <v>45</v>
      </c>
      <c r="B58" s="2" t="s">
        <v>432</v>
      </c>
      <c r="C58" s="214"/>
      <c r="D58" s="13" t="s">
        <v>29</v>
      </c>
      <c r="E58" s="215">
        <v>6</v>
      </c>
      <c r="F58" s="9"/>
      <c r="G58" s="108"/>
      <c r="H58" s="4"/>
      <c r="I58" s="4"/>
      <c r="J58" s="4"/>
      <c r="K58" s="337"/>
      <c r="L58" s="338"/>
      <c r="M58" s="338"/>
      <c r="N58" s="338"/>
      <c r="O58" s="338"/>
      <c r="P58" s="339"/>
    </row>
    <row r="59" spans="1:16" s="25" customFormat="1" ht="14.25">
      <c r="A59" s="106">
        <f t="shared" si="0"/>
        <v>46</v>
      </c>
      <c r="B59" s="2" t="s">
        <v>433</v>
      </c>
      <c r="C59" s="214"/>
      <c r="D59" s="13" t="s">
        <v>29</v>
      </c>
      <c r="E59" s="215">
        <v>7</v>
      </c>
      <c r="F59" s="33"/>
      <c r="G59" s="33"/>
      <c r="H59" s="4"/>
      <c r="I59" s="4"/>
      <c r="J59" s="4"/>
      <c r="K59" s="337"/>
      <c r="L59" s="338"/>
      <c r="M59" s="338"/>
      <c r="N59" s="338"/>
      <c r="O59" s="338"/>
      <c r="P59" s="339"/>
    </row>
    <row r="60" spans="1:16" s="25" customFormat="1" ht="22.5">
      <c r="A60" s="106">
        <f t="shared" si="0"/>
        <v>47</v>
      </c>
      <c r="B60" s="2" t="s">
        <v>434</v>
      </c>
      <c r="C60" s="214" t="s">
        <v>463</v>
      </c>
      <c r="D60" s="13" t="s">
        <v>30</v>
      </c>
      <c r="E60" s="215">
        <v>1</v>
      </c>
      <c r="F60" s="9"/>
      <c r="G60" s="108"/>
      <c r="H60" s="4"/>
      <c r="I60" s="4"/>
      <c r="J60" s="4"/>
      <c r="K60" s="337"/>
      <c r="L60" s="338"/>
      <c r="M60" s="338"/>
      <c r="N60" s="338"/>
      <c r="O60" s="338"/>
      <c r="P60" s="339"/>
    </row>
    <row r="61" spans="1:16" s="25" customFormat="1" ht="22.5">
      <c r="A61" s="106">
        <f t="shared" si="0"/>
        <v>48</v>
      </c>
      <c r="B61" s="2" t="s">
        <v>435</v>
      </c>
      <c r="C61" s="214" t="s">
        <v>464</v>
      </c>
      <c r="D61" s="13" t="s">
        <v>29</v>
      </c>
      <c r="E61" s="215">
        <v>1</v>
      </c>
      <c r="F61" s="107"/>
      <c r="G61" s="108"/>
      <c r="H61" s="4"/>
      <c r="I61" s="4"/>
      <c r="J61" s="4"/>
      <c r="K61" s="337"/>
      <c r="L61" s="338"/>
      <c r="M61" s="338"/>
      <c r="N61" s="338"/>
      <c r="O61" s="338"/>
      <c r="P61" s="339"/>
    </row>
    <row r="62" spans="1:16" s="25" customFormat="1" ht="22.5">
      <c r="A62" s="106">
        <f t="shared" si="0"/>
        <v>49</v>
      </c>
      <c r="B62" s="2" t="s">
        <v>436</v>
      </c>
      <c r="C62" s="214" t="s">
        <v>465</v>
      </c>
      <c r="D62" s="13" t="s">
        <v>29</v>
      </c>
      <c r="E62" s="215">
        <v>1</v>
      </c>
      <c r="F62" s="107"/>
      <c r="G62" s="108"/>
      <c r="H62" s="4"/>
      <c r="I62" s="4"/>
      <c r="J62" s="4"/>
      <c r="K62" s="337"/>
      <c r="L62" s="338"/>
      <c r="M62" s="338"/>
      <c r="N62" s="338"/>
      <c r="O62" s="338"/>
      <c r="P62" s="339"/>
    </row>
    <row r="63" spans="1:16" s="25" customFormat="1" ht="22.5">
      <c r="A63" s="106">
        <f t="shared" si="0"/>
        <v>50</v>
      </c>
      <c r="B63" s="2" t="s">
        <v>437</v>
      </c>
      <c r="C63" s="214" t="s">
        <v>466</v>
      </c>
      <c r="D63" s="13" t="s">
        <v>30</v>
      </c>
      <c r="E63" s="215">
        <v>5</v>
      </c>
      <c r="F63" s="107"/>
      <c r="G63" s="108"/>
      <c r="H63" s="4"/>
      <c r="I63" s="4"/>
      <c r="J63" s="4"/>
      <c r="K63" s="337"/>
      <c r="L63" s="338"/>
      <c r="M63" s="338"/>
      <c r="N63" s="338"/>
      <c r="O63" s="338"/>
      <c r="P63" s="339"/>
    </row>
    <row r="64" spans="1:16" s="25" customFormat="1" ht="14.25">
      <c r="A64" s="106">
        <f t="shared" si="0"/>
        <v>51</v>
      </c>
      <c r="B64" s="2" t="s">
        <v>438</v>
      </c>
      <c r="C64" s="214"/>
      <c r="D64" s="13" t="s">
        <v>42</v>
      </c>
      <c r="E64" s="14">
        <f>SUM(E38:E42)</f>
        <v>41.8</v>
      </c>
      <c r="F64" s="9"/>
      <c r="G64" s="33"/>
      <c r="H64" s="4"/>
      <c r="I64" s="4"/>
      <c r="J64" s="4"/>
      <c r="K64" s="337"/>
      <c r="L64" s="338"/>
      <c r="M64" s="338"/>
      <c r="N64" s="338"/>
      <c r="O64" s="338"/>
      <c r="P64" s="339"/>
    </row>
    <row r="65" spans="1:16" s="25" customFormat="1" ht="14.25">
      <c r="A65" s="106">
        <f t="shared" si="0"/>
        <v>52</v>
      </c>
      <c r="B65" s="2" t="s">
        <v>229</v>
      </c>
      <c r="C65" s="214"/>
      <c r="D65" s="13" t="s">
        <v>30</v>
      </c>
      <c r="E65" s="215">
        <v>1</v>
      </c>
      <c r="F65" s="9"/>
      <c r="G65" s="33"/>
      <c r="H65" s="4"/>
      <c r="I65" s="4"/>
      <c r="J65" s="4"/>
      <c r="K65" s="337"/>
      <c r="L65" s="338"/>
      <c r="M65" s="338"/>
      <c r="N65" s="338"/>
      <c r="O65" s="338"/>
      <c r="P65" s="339"/>
    </row>
    <row r="66" spans="1:16" s="25" customFormat="1" ht="14.25">
      <c r="A66" s="106">
        <f t="shared" si="0"/>
        <v>53</v>
      </c>
      <c r="B66" s="2" t="s">
        <v>439</v>
      </c>
      <c r="C66" s="214"/>
      <c r="D66" s="13" t="s">
        <v>30</v>
      </c>
      <c r="E66" s="215">
        <v>1</v>
      </c>
      <c r="F66" s="9"/>
      <c r="G66" s="33"/>
      <c r="H66" s="4"/>
      <c r="I66" s="4"/>
      <c r="J66" s="4"/>
      <c r="K66" s="337"/>
      <c r="L66" s="338"/>
      <c r="M66" s="338"/>
      <c r="N66" s="338"/>
      <c r="O66" s="338"/>
      <c r="P66" s="339"/>
    </row>
    <row r="67" spans="1:16" s="25" customFormat="1" ht="14.25">
      <c r="A67" s="106">
        <f t="shared" si="0"/>
        <v>54</v>
      </c>
      <c r="B67" s="2" t="s">
        <v>440</v>
      </c>
      <c r="C67" s="214"/>
      <c r="D67" s="13" t="s">
        <v>30</v>
      </c>
      <c r="E67" s="215">
        <v>1</v>
      </c>
      <c r="F67" s="9"/>
      <c r="G67" s="33"/>
      <c r="H67" s="4"/>
      <c r="I67" s="4"/>
      <c r="J67" s="4"/>
      <c r="K67" s="337"/>
      <c r="L67" s="338"/>
      <c r="M67" s="338"/>
      <c r="N67" s="338"/>
      <c r="O67" s="338"/>
      <c r="P67" s="339"/>
    </row>
    <row r="68" spans="1:16" s="157" customFormat="1" ht="12.75">
      <c r="A68" s="106"/>
      <c r="B68" s="239" t="s">
        <v>1535</v>
      </c>
      <c r="C68" s="240"/>
      <c r="D68" s="241"/>
      <c r="E68" s="242"/>
      <c r="F68" s="107"/>
      <c r="G68" s="108"/>
      <c r="H68" s="4"/>
      <c r="I68" s="4"/>
      <c r="J68" s="4"/>
      <c r="K68" s="108"/>
      <c r="L68" s="108"/>
      <c r="M68" s="108"/>
      <c r="N68" s="108"/>
      <c r="O68" s="108"/>
      <c r="P68" s="109"/>
    </row>
    <row r="69" spans="1:16" s="25" customFormat="1" ht="14.25">
      <c r="A69" s="106">
        <f t="shared" si="0"/>
        <v>1</v>
      </c>
      <c r="B69" s="2" t="s">
        <v>441</v>
      </c>
      <c r="C69" s="214" t="s">
        <v>456</v>
      </c>
      <c r="D69" s="13" t="s">
        <v>29</v>
      </c>
      <c r="E69" s="215">
        <v>2</v>
      </c>
      <c r="F69" s="9"/>
      <c r="G69" s="33"/>
      <c r="H69" s="4"/>
      <c r="I69" s="4"/>
      <c r="J69" s="4"/>
      <c r="K69" s="337"/>
      <c r="L69" s="338"/>
      <c r="M69" s="338"/>
      <c r="N69" s="338"/>
      <c r="O69" s="338"/>
      <c r="P69" s="339"/>
    </row>
    <row r="70" spans="1:16" s="25" customFormat="1" ht="14.25">
      <c r="A70" s="106">
        <f t="shared" si="0"/>
        <v>2</v>
      </c>
      <c r="B70" s="2" t="s">
        <v>441</v>
      </c>
      <c r="C70" s="214" t="s">
        <v>456</v>
      </c>
      <c r="D70" s="13" t="s">
        <v>29</v>
      </c>
      <c r="E70" s="215">
        <v>14</v>
      </c>
      <c r="F70" s="9"/>
      <c r="G70" s="33"/>
      <c r="H70" s="4"/>
      <c r="I70" s="4"/>
      <c r="J70" s="4"/>
      <c r="K70" s="337"/>
      <c r="L70" s="338"/>
      <c r="M70" s="338"/>
      <c r="N70" s="338"/>
      <c r="O70" s="338"/>
      <c r="P70" s="339"/>
    </row>
    <row r="71" spans="1:16" s="25" customFormat="1" ht="14.25">
      <c r="A71" s="106">
        <f t="shared" si="0"/>
        <v>3</v>
      </c>
      <c r="B71" s="2" t="s">
        <v>441</v>
      </c>
      <c r="C71" s="214" t="s">
        <v>456</v>
      </c>
      <c r="D71" s="13" t="s">
        <v>29</v>
      </c>
      <c r="E71" s="215">
        <v>2</v>
      </c>
      <c r="F71" s="9"/>
      <c r="G71" s="33"/>
      <c r="H71" s="4"/>
      <c r="I71" s="4"/>
      <c r="J71" s="4"/>
      <c r="K71" s="337"/>
      <c r="L71" s="338"/>
      <c r="M71" s="338"/>
      <c r="N71" s="338"/>
      <c r="O71" s="338"/>
      <c r="P71" s="339"/>
    </row>
    <row r="72" spans="1:16" s="25" customFormat="1" ht="22.5">
      <c r="A72" s="106">
        <f t="shared" si="0"/>
        <v>4</v>
      </c>
      <c r="B72" s="2" t="s">
        <v>442</v>
      </c>
      <c r="C72" s="214" t="s">
        <v>458</v>
      </c>
      <c r="D72" s="13" t="s">
        <v>29</v>
      </c>
      <c r="E72" s="215">
        <v>2</v>
      </c>
      <c r="F72" s="9"/>
      <c r="G72" s="33"/>
      <c r="H72" s="4"/>
      <c r="I72" s="4"/>
      <c r="J72" s="4"/>
      <c r="K72" s="337"/>
      <c r="L72" s="338"/>
      <c r="M72" s="338"/>
      <c r="N72" s="338"/>
      <c r="O72" s="338"/>
      <c r="P72" s="339"/>
    </row>
    <row r="73" spans="1:16" s="25" customFormat="1" ht="14.25">
      <c r="A73" s="106">
        <f t="shared" si="0"/>
        <v>5</v>
      </c>
      <c r="B73" s="2" t="s">
        <v>443</v>
      </c>
      <c r="C73" s="214" t="s">
        <v>457</v>
      </c>
      <c r="D73" s="13" t="s">
        <v>29</v>
      </c>
      <c r="E73" s="215">
        <v>2</v>
      </c>
      <c r="F73" s="9"/>
      <c r="G73" s="33"/>
      <c r="H73" s="4"/>
      <c r="I73" s="4"/>
      <c r="J73" s="4"/>
      <c r="K73" s="337"/>
      <c r="L73" s="338"/>
      <c r="M73" s="338"/>
      <c r="N73" s="338"/>
      <c r="O73" s="338"/>
      <c r="P73" s="339"/>
    </row>
    <row r="74" spans="1:16" s="25" customFormat="1" ht="22.5">
      <c r="A74" s="106">
        <f t="shared" si="0"/>
        <v>6</v>
      </c>
      <c r="B74" s="2" t="s">
        <v>444</v>
      </c>
      <c r="C74" s="214" t="s">
        <v>459</v>
      </c>
      <c r="D74" s="13" t="s">
        <v>29</v>
      </c>
      <c r="E74" s="215">
        <v>2</v>
      </c>
      <c r="F74" s="9"/>
      <c r="G74" s="33"/>
      <c r="H74" s="4"/>
      <c r="I74" s="4"/>
      <c r="J74" s="4"/>
      <c r="K74" s="337"/>
      <c r="L74" s="338"/>
      <c r="M74" s="338"/>
      <c r="N74" s="338"/>
      <c r="O74" s="338"/>
      <c r="P74" s="339"/>
    </row>
    <row r="75" spans="1:16" s="25" customFormat="1" ht="14.25">
      <c r="A75" s="106">
        <f t="shared" si="0"/>
        <v>7</v>
      </c>
      <c r="B75" s="2" t="s">
        <v>445</v>
      </c>
      <c r="C75" s="214" t="s">
        <v>457</v>
      </c>
      <c r="D75" s="13" t="s">
        <v>29</v>
      </c>
      <c r="E75" s="215">
        <v>2</v>
      </c>
      <c r="F75" s="9"/>
      <c r="G75" s="33"/>
      <c r="H75" s="4"/>
      <c r="I75" s="4"/>
      <c r="J75" s="4"/>
      <c r="K75" s="337"/>
      <c r="L75" s="338"/>
      <c r="M75" s="338"/>
      <c r="N75" s="338"/>
      <c r="O75" s="338"/>
      <c r="P75" s="339"/>
    </row>
    <row r="76" spans="1:16" s="25" customFormat="1" ht="22.5">
      <c r="A76" s="106">
        <f t="shared" si="0"/>
        <v>8</v>
      </c>
      <c r="B76" s="2" t="s">
        <v>446</v>
      </c>
      <c r="C76" s="214" t="s">
        <v>460</v>
      </c>
      <c r="D76" s="13" t="s">
        <v>29</v>
      </c>
      <c r="E76" s="215">
        <v>2</v>
      </c>
      <c r="F76" s="9"/>
      <c r="G76" s="33"/>
      <c r="H76" s="4"/>
      <c r="I76" s="4"/>
      <c r="J76" s="4"/>
      <c r="K76" s="337"/>
      <c r="L76" s="338"/>
      <c r="M76" s="338"/>
      <c r="N76" s="338"/>
      <c r="O76" s="338"/>
      <c r="P76" s="339"/>
    </row>
    <row r="77" spans="1:16" s="25" customFormat="1" ht="14.25">
      <c r="A77" s="106">
        <f t="shared" si="0"/>
        <v>9</v>
      </c>
      <c r="B77" s="2" t="s">
        <v>447</v>
      </c>
      <c r="C77" s="214" t="s">
        <v>457</v>
      </c>
      <c r="D77" s="13" t="s">
        <v>29</v>
      </c>
      <c r="E77" s="215">
        <v>2</v>
      </c>
      <c r="F77" s="9"/>
      <c r="G77" s="33"/>
      <c r="H77" s="4"/>
      <c r="I77" s="4"/>
      <c r="J77" s="4"/>
      <c r="K77" s="337"/>
      <c r="L77" s="338"/>
      <c r="M77" s="338"/>
      <c r="N77" s="338"/>
      <c r="O77" s="338"/>
      <c r="P77" s="339"/>
    </row>
    <row r="78" spans="1:16" s="25" customFormat="1" ht="22.5">
      <c r="A78" s="106">
        <f t="shared" ref="A78:A84" si="1">A77+1</f>
        <v>10</v>
      </c>
      <c r="B78" s="2" t="s">
        <v>448</v>
      </c>
      <c r="C78" s="214" t="s">
        <v>461</v>
      </c>
      <c r="D78" s="13" t="s">
        <v>29</v>
      </c>
      <c r="E78" s="215">
        <v>8</v>
      </c>
      <c r="F78" s="9"/>
      <c r="G78" s="33"/>
      <c r="H78" s="4"/>
      <c r="I78" s="4"/>
      <c r="J78" s="4"/>
      <c r="K78" s="337"/>
      <c r="L78" s="338"/>
      <c r="M78" s="338"/>
      <c r="N78" s="338"/>
      <c r="O78" s="338"/>
      <c r="P78" s="339"/>
    </row>
    <row r="79" spans="1:16" s="25" customFormat="1" ht="22.5">
      <c r="A79" s="106">
        <f t="shared" si="1"/>
        <v>11</v>
      </c>
      <c r="B79" s="2" t="s">
        <v>449</v>
      </c>
      <c r="C79" s="214" t="s">
        <v>462</v>
      </c>
      <c r="D79" s="13" t="s">
        <v>29</v>
      </c>
      <c r="E79" s="215">
        <v>4</v>
      </c>
      <c r="F79" s="9"/>
      <c r="G79" s="33"/>
      <c r="H79" s="4"/>
      <c r="I79" s="4"/>
      <c r="J79" s="4"/>
      <c r="K79" s="337"/>
      <c r="L79" s="338"/>
      <c r="M79" s="338"/>
      <c r="N79" s="338"/>
      <c r="O79" s="338"/>
      <c r="P79" s="339"/>
    </row>
    <row r="80" spans="1:16" s="25" customFormat="1" ht="14.25">
      <c r="A80" s="106">
        <f t="shared" si="1"/>
        <v>12</v>
      </c>
      <c r="B80" s="2" t="s">
        <v>450</v>
      </c>
      <c r="C80" s="214" t="s">
        <v>456</v>
      </c>
      <c r="D80" s="13" t="s">
        <v>29</v>
      </c>
      <c r="E80" s="215">
        <v>18</v>
      </c>
      <c r="F80" s="9"/>
      <c r="G80" s="33"/>
      <c r="H80" s="4"/>
      <c r="I80" s="4"/>
      <c r="J80" s="4"/>
      <c r="K80" s="337"/>
      <c r="L80" s="338"/>
      <c r="M80" s="338"/>
      <c r="N80" s="338"/>
      <c r="O80" s="338"/>
      <c r="P80" s="339"/>
    </row>
    <row r="81" spans="1:28" s="25" customFormat="1" ht="24">
      <c r="A81" s="106">
        <f t="shared" si="1"/>
        <v>13</v>
      </c>
      <c r="B81" s="2" t="s">
        <v>451</v>
      </c>
      <c r="C81" s="214"/>
      <c r="D81" s="13" t="s">
        <v>29</v>
      </c>
      <c r="E81" s="215">
        <v>2</v>
      </c>
      <c r="F81" s="9"/>
      <c r="G81" s="33"/>
      <c r="H81" s="4"/>
      <c r="I81" s="4"/>
      <c r="J81" s="4"/>
      <c r="K81" s="337"/>
      <c r="L81" s="338"/>
      <c r="M81" s="338"/>
      <c r="N81" s="338"/>
      <c r="O81" s="338"/>
      <c r="P81" s="339"/>
    </row>
    <row r="82" spans="1:28" s="25" customFormat="1" ht="14.25">
      <c r="A82" s="106">
        <f t="shared" si="1"/>
        <v>14</v>
      </c>
      <c r="B82" s="2" t="s">
        <v>1104</v>
      </c>
      <c r="C82" s="214"/>
      <c r="D82" s="13" t="s">
        <v>42</v>
      </c>
      <c r="E82" s="14">
        <f>ROUND(E69*0.25+E70+E71*0.5,1)</f>
        <v>15.5</v>
      </c>
      <c r="F82" s="107"/>
      <c r="G82" s="108"/>
      <c r="H82" s="4"/>
      <c r="I82" s="4"/>
      <c r="J82" s="4"/>
      <c r="K82" s="337"/>
      <c r="L82" s="338"/>
      <c r="M82" s="338"/>
      <c r="N82" s="338"/>
      <c r="O82" s="338"/>
      <c r="P82" s="339"/>
    </row>
    <row r="83" spans="1:28" s="25" customFormat="1" ht="14.25">
      <c r="A83" s="106">
        <f t="shared" si="1"/>
        <v>15</v>
      </c>
      <c r="B83" s="2" t="s">
        <v>276</v>
      </c>
      <c r="C83" s="214"/>
      <c r="D83" s="13" t="s">
        <v>30</v>
      </c>
      <c r="E83" s="215">
        <v>1</v>
      </c>
      <c r="F83" s="9"/>
      <c r="G83" s="33"/>
      <c r="H83" s="4"/>
      <c r="I83" s="4"/>
      <c r="J83" s="4"/>
      <c r="K83" s="337"/>
      <c r="L83" s="338"/>
      <c r="M83" s="338"/>
      <c r="N83" s="338"/>
      <c r="O83" s="338"/>
      <c r="P83" s="339"/>
    </row>
    <row r="84" spans="1:28" s="25" customFormat="1" ht="15" thickBot="1">
      <c r="A84" s="106">
        <f t="shared" si="1"/>
        <v>16</v>
      </c>
      <c r="B84" s="216" t="s">
        <v>230</v>
      </c>
      <c r="C84" s="217"/>
      <c r="D84" s="13" t="s">
        <v>30</v>
      </c>
      <c r="E84" s="215">
        <v>1</v>
      </c>
      <c r="F84" s="218"/>
      <c r="G84" s="218"/>
      <c r="H84" s="219"/>
      <c r="I84" s="219"/>
      <c r="J84" s="4"/>
      <c r="K84" s="337"/>
      <c r="L84" s="338"/>
      <c r="M84" s="338"/>
      <c r="N84" s="338"/>
      <c r="O84" s="338"/>
      <c r="P84" s="339"/>
    </row>
    <row r="85" spans="1:28" s="102" customFormat="1" ht="15.75" thickTop="1" thickBot="1">
      <c r="A85" s="181"/>
      <c r="B85" s="400" t="s">
        <v>1587</v>
      </c>
      <c r="C85" s="401"/>
      <c r="D85" s="401"/>
      <c r="E85" s="401"/>
      <c r="F85" s="401"/>
      <c r="G85" s="401"/>
      <c r="H85" s="401"/>
      <c r="I85" s="401"/>
      <c r="J85" s="401"/>
      <c r="K85" s="402"/>
      <c r="L85" s="182">
        <f>SUM(L13:L84)</f>
        <v>0</v>
      </c>
      <c r="M85" s="182">
        <f t="shared" ref="M85:O85" si="2">SUM(M13:M84)</f>
        <v>0</v>
      </c>
      <c r="N85" s="182">
        <f t="shared" si="2"/>
        <v>0</v>
      </c>
      <c r="O85" s="182">
        <f t="shared" si="2"/>
        <v>0</v>
      </c>
      <c r="P85" s="183">
        <f>SUM(M85:O85)</f>
        <v>0</v>
      </c>
      <c r="Q85" s="25"/>
      <c r="R85" s="25"/>
      <c r="S85" s="25"/>
      <c r="T85" s="25"/>
      <c r="U85" s="25"/>
      <c r="V85" s="25"/>
      <c r="W85" s="25"/>
      <c r="X85" s="25"/>
      <c r="Y85" s="25"/>
      <c r="Z85" s="25"/>
      <c r="AA85" s="25"/>
      <c r="AB85" s="25"/>
    </row>
    <row r="86" spans="1:28" s="102" customFormat="1" ht="15" thickTop="1">
      <c r="B86" s="200"/>
      <c r="C86" s="200"/>
      <c r="Q86" s="25"/>
      <c r="R86" s="25"/>
      <c r="S86" s="25"/>
      <c r="T86" s="25"/>
      <c r="U86" s="25"/>
      <c r="V86" s="25"/>
      <c r="W86" s="25"/>
      <c r="X86" s="25"/>
      <c r="Y86" s="25"/>
      <c r="Z86" s="25"/>
      <c r="AA86" s="25"/>
      <c r="AB86" s="25"/>
    </row>
    <row r="87" spans="1:28" s="102" customFormat="1" ht="14.25">
      <c r="B87" s="184"/>
      <c r="C87" s="184"/>
      <c r="Q87" s="25"/>
      <c r="R87" s="25"/>
      <c r="S87" s="25"/>
      <c r="T87" s="25"/>
      <c r="U87" s="25"/>
      <c r="V87" s="25"/>
      <c r="W87" s="25"/>
      <c r="X87" s="25"/>
      <c r="Y87" s="25"/>
      <c r="Z87" s="25"/>
      <c r="AA87" s="25"/>
      <c r="AB87" s="25"/>
    </row>
    <row r="88" spans="1:28" s="102" customFormat="1" ht="14.25">
      <c r="A88" s="117"/>
      <c r="B88" s="172" t="s">
        <v>209</v>
      </c>
      <c r="C88" s="172"/>
      <c r="D88" s="117"/>
      <c r="E88" s="117"/>
      <c r="F88" s="117"/>
      <c r="G88" s="117"/>
      <c r="H88" s="117"/>
      <c r="I88" s="117"/>
      <c r="Q88" s="25"/>
      <c r="R88" s="25"/>
      <c r="S88" s="25"/>
      <c r="T88" s="25"/>
      <c r="U88" s="25"/>
      <c r="V88" s="25"/>
      <c r="W88" s="25"/>
      <c r="X88" s="25"/>
      <c r="Y88" s="25"/>
      <c r="Z88" s="25"/>
      <c r="AA88" s="25"/>
      <c r="AB88" s="25"/>
    </row>
    <row r="89" spans="1:28" s="102" customFormat="1" ht="14.25">
      <c r="A89" s="117"/>
      <c r="B89" s="172"/>
      <c r="C89" s="172"/>
      <c r="D89" s="117"/>
      <c r="E89" s="117"/>
      <c r="F89" s="117"/>
      <c r="G89" s="117"/>
      <c r="H89" s="117"/>
      <c r="I89" s="117"/>
      <c r="Q89" s="25"/>
      <c r="R89" s="25"/>
      <c r="S89" s="25"/>
      <c r="T89" s="25"/>
      <c r="U89" s="25"/>
      <c r="V89" s="25"/>
      <c r="W89" s="25"/>
      <c r="X89" s="25"/>
      <c r="Y89" s="25"/>
      <c r="Z89" s="25"/>
      <c r="AA89" s="25"/>
      <c r="AB89" s="25"/>
    </row>
    <row r="90" spans="1:28" s="102" customFormat="1" ht="14.25">
      <c r="B90" s="92">
        <f ca="1">TODAY()</f>
        <v>43206</v>
      </c>
      <c r="C90" s="92"/>
      <c r="D90" s="144"/>
      <c r="Q90" s="25"/>
      <c r="R90" s="25"/>
      <c r="S90" s="25"/>
      <c r="T90" s="25"/>
      <c r="U90" s="25"/>
      <c r="V90" s="25"/>
      <c r="W90" s="25"/>
      <c r="X90" s="25"/>
      <c r="Y90" s="25"/>
      <c r="Z90" s="25"/>
      <c r="AA90" s="25"/>
      <c r="AB90" s="25"/>
    </row>
    <row r="91" spans="1:28" s="102" customFormat="1" ht="14.25">
      <c r="A91" s="220"/>
      <c r="B91" s="220"/>
      <c r="C91" s="220"/>
      <c r="D91" s="220"/>
      <c r="E91" s="220"/>
      <c r="F91" s="220"/>
      <c r="G91" s="220"/>
      <c r="H91" s="220"/>
      <c r="I91" s="220"/>
      <c r="J91" s="220"/>
      <c r="K91" s="220"/>
      <c r="L91" s="220"/>
      <c r="M91" s="220"/>
      <c r="N91" s="220"/>
      <c r="O91" s="220"/>
      <c r="P91" s="220"/>
      <c r="Q91" s="25"/>
      <c r="R91" s="25"/>
      <c r="S91" s="25"/>
      <c r="T91" s="25"/>
      <c r="U91" s="25"/>
      <c r="V91" s="25"/>
      <c r="W91" s="25"/>
      <c r="X91" s="25"/>
      <c r="Y91" s="25"/>
      <c r="Z91" s="25"/>
      <c r="AA91" s="25"/>
      <c r="AB91" s="25"/>
    </row>
    <row r="92" spans="1:28" s="102" customFormat="1" ht="14.25">
      <c r="A92" s="220"/>
      <c r="B92" s="220"/>
      <c r="C92" s="220"/>
      <c r="D92" s="220"/>
      <c r="E92" s="220"/>
      <c r="F92" s="220"/>
      <c r="G92" s="220"/>
      <c r="H92" s="220"/>
      <c r="I92" s="220"/>
      <c r="J92" s="220"/>
      <c r="K92" s="220"/>
      <c r="L92" s="220"/>
      <c r="M92" s="220"/>
      <c r="N92" s="220"/>
      <c r="O92" s="220"/>
      <c r="P92" s="220"/>
      <c r="Q92" s="25"/>
      <c r="R92" s="25"/>
      <c r="S92" s="25"/>
      <c r="T92" s="25"/>
      <c r="U92" s="25"/>
      <c r="V92" s="25"/>
      <c r="W92" s="25"/>
      <c r="X92" s="25"/>
      <c r="Y92" s="25"/>
      <c r="Z92" s="25"/>
      <c r="AA92" s="25"/>
      <c r="AB92" s="25"/>
    </row>
  </sheetData>
  <mergeCells count="23">
    <mergeCell ref="B85:K85"/>
    <mergeCell ref="P8:P11"/>
    <mergeCell ref="J8:J11"/>
    <mergeCell ref="L8:L11"/>
    <mergeCell ref="M8:M11"/>
    <mergeCell ref="N8:N11"/>
    <mergeCell ref="O8:O11"/>
    <mergeCell ref="C7:C11"/>
    <mergeCell ref="K8:K11"/>
    <mergeCell ref="A1:P1"/>
    <mergeCell ref="A2:P2"/>
    <mergeCell ref="K6:N6"/>
    <mergeCell ref="O6:P6"/>
    <mergeCell ref="A7:A11"/>
    <mergeCell ref="B7:B11"/>
    <mergeCell ref="D7:D11"/>
    <mergeCell ref="E7:E11"/>
    <mergeCell ref="F7:K7"/>
    <mergeCell ref="L7:P7"/>
    <mergeCell ref="F8:F11"/>
    <mergeCell ref="G8:G11"/>
    <mergeCell ref="H8:H11"/>
    <mergeCell ref="I8:I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85"/>
  <sheetViews>
    <sheetView topLeftCell="A7" zoomScaleNormal="100" zoomScaleSheetLayoutView="100" workbookViewId="0">
      <selection activeCell="B37" sqref="B37:J37"/>
    </sheetView>
  </sheetViews>
  <sheetFormatPr defaultColWidth="9.140625" defaultRowHeight="12.75"/>
  <cols>
    <col min="1" max="1" width="5.7109375" style="15" customWidth="1"/>
    <col min="2" max="2" width="35.5703125" style="15" customWidth="1"/>
    <col min="3" max="3" width="6.7109375" style="15" customWidth="1"/>
    <col min="4" max="4" width="7.140625" style="15" customWidth="1"/>
    <col min="5" max="10" width="9" style="15" customWidth="1"/>
    <col min="11" max="11" width="9.28515625" style="15" customWidth="1"/>
    <col min="12" max="13" width="9.7109375" style="15" customWidth="1"/>
    <col min="14" max="14" width="9.28515625" style="15" customWidth="1"/>
    <col min="15" max="15" width="12" style="15" customWidth="1"/>
    <col min="16" max="16384" width="9.140625" style="15"/>
  </cols>
  <sheetData>
    <row r="1" spans="1:15" s="27" customFormat="1" ht="14.25">
      <c r="A1" s="368" t="s">
        <v>88</v>
      </c>
      <c r="B1" s="368"/>
      <c r="C1" s="368"/>
      <c r="D1" s="368"/>
      <c r="E1" s="368"/>
      <c r="F1" s="368"/>
      <c r="G1" s="368"/>
      <c r="H1" s="368"/>
      <c r="I1" s="368"/>
      <c r="J1" s="368"/>
      <c r="K1" s="368"/>
      <c r="L1" s="368"/>
      <c r="M1" s="368"/>
      <c r="N1" s="368"/>
      <c r="O1" s="368"/>
    </row>
    <row r="2" spans="1:15" s="27" customFormat="1" ht="14.25">
      <c r="A2" s="369" t="str">
        <f>Kopsavilkums!C11</f>
        <v>Būvlaukuma sagatavošanas  un uzturēšanas darbi</v>
      </c>
      <c r="B2" s="369"/>
      <c r="C2" s="369"/>
      <c r="D2" s="369"/>
      <c r="E2" s="369"/>
      <c r="F2" s="369"/>
      <c r="G2" s="369"/>
      <c r="H2" s="369"/>
      <c r="I2" s="369"/>
      <c r="J2" s="369"/>
      <c r="K2" s="369"/>
      <c r="L2" s="369"/>
      <c r="M2" s="369"/>
      <c r="N2" s="369"/>
      <c r="O2" s="369"/>
    </row>
    <row r="3" spans="1:15" s="27" customFormat="1" ht="14.25">
      <c r="A3" s="115" t="s">
        <v>1246</v>
      </c>
      <c r="B3" s="169"/>
      <c r="C3" s="169"/>
      <c r="D3" s="169"/>
      <c r="E3" s="169"/>
      <c r="F3" s="169"/>
      <c r="G3" s="169"/>
      <c r="H3" s="169"/>
      <c r="I3" s="169"/>
      <c r="J3" s="169"/>
      <c r="K3" s="169"/>
      <c r="L3" s="169"/>
      <c r="M3" s="169"/>
      <c r="N3" s="169"/>
      <c r="O3" s="169"/>
    </row>
    <row r="4" spans="1:15" s="27" customFormat="1" ht="14.25">
      <c r="A4" s="115" t="s">
        <v>307</v>
      </c>
      <c r="B4" s="169"/>
      <c r="C4" s="169"/>
      <c r="D4" s="169"/>
      <c r="E4" s="169"/>
      <c r="F4" s="169"/>
      <c r="G4" s="169"/>
      <c r="H4" s="169"/>
      <c r="I4" s="169"/>
      <c r="J4" s="169"/>
      <c r="K4" s="169"/>
      <c r="L4" s="169"/>
      <c r="M4" s="169"/>
      <c r="N4" s="169"/>
      <c r="O4" s="169"/>
    </row>
    <row r="5" spans="1:15" s="27" customFormat="1" ht="14.25">
      <c r="A5" s="115" t="s">
        <v>306</v>
      </c>
      <c r="B5" s="169"/>
      <c r="C5" s="169"/>
      <c r="D5" s="169"/>
      <c r="E5" s="169"/>
      <c r="F5" s="169"/>
      <c r="G5" s="169"/>
      <c r="H5" s="169"/>
      <c r="I5" s="169"/>
      <c r="J5" s="169"/>
      <c r="K5" s="169"/>
      <c r="L5" s="169"/>
      <c r="M5" s="169"/>
      <c r="N5" s="169"/>
      <c r="O5" s="169"/>
    </row>
    <row r="6" spans="1:15" s="27" customFormat="1" ht="15" thickBot="1">
      <c r="A6" s="42"/>
      <c r="B6" s="43"/>
      <c r="C6" s="43"/>
      <c r="D6" s="43"/>
      <c r="J6" s="370" t="s">
        <v>13</v>
      </c>
      <c r="K6" s="370"/>
      <c r="L6" s="370"/>
      <c r="M6" s="370"/>
      <c r="N6" s="371" t="e">
        <f>#REF!</f>
        <v>#REF!</v>
      </c>
      <c r="O6" s="371"/>
    </row>
    <row r="7" spans="1:15" s="28" customFormat="1" ht="11.45" customHeight="1">
      <c r="A7" s="378" t="s">
        <v>27</v>
      </c>
      <c r="B7" s="381" t="s">
        <v>28</v>
      </c>
      <c r="C7" s="381" t="s">
        <v>17</v>
      </c>
      <c r="D7" s="381" t="s">
        <v>19</v>
      </c>
      <c r="E7" s="390" t="s">
        <v>15</v>
      </c>
      <c r="F7" s="391"/>
      <c r="G7" s="391"/>
      <c r="H7" s="391"/>
      <c r="I7" s="391"/>
      <c r="J7" s="392"/>
      <c r="K7" s="390" t="s">
        <v>16</v>
      </c>
      <c r="L7" s="391"/>
      <c r="M7" s="391"/>
      <c r="N7" s="391"/>
      <c r="O7" s="393"/>
    </row>
    <row r="8" spans="1:15" s="28" customFormat="1" ht="11.4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5" s="28" customFormat="1" ht="11.45" customHeight="1">
      <c r="A9" s="379"/>
      <c r="B9" s="382"/>
      <c r="C9" s="382"/>
      <c r="D9" s="382"/>
      <c r="E9" s="394"/>
      <c r="F9" s="376"/>
      <c r="G9" s="376"/>
      <c r="H9" s="376"/>
      <c r="I9" s="376"/>
      <c r="J9" s="373"/>
      <c r="K9" s="376"/>
      <c r="L9" s="376"/>
      <c r="M9" s="376"/>
      <c r="N9" s="376"/>
      <c r="O9" s="385"/>
    </row>
    <row r="10" spans="1:15" s="28" customFormat="1" ht="11.45" customHeight="1">
      <c r="A10" s="379"/>
      <c r="B10" s="382"/>
      <c r="C10" s="382"/>
      <c r="D10" s="382"/>
      <c r="E10" s="394"/>
      <c r="F10" s="376"/>
      <c r="G10" s="376"/>
      <c r="H10" s="376"/>
      <c r="I10" s="376"/>
      <c r="J10" s="373"/>
      <c r="K10" s="376"/>
      <c r="L10" s="376"/>
      <c r="M10" s="376"/>
      <c r="N10" s="376"/>
      <c r="O10" s="385"/>
    </row>
    <row r="11" spans="1:15" s="28" customFormat="1" ht="11.45" customHeight="1" thickBot="1">
      <c r="A11" s="380"/>
      <c r="B11" s="383"/>
      <c r="C11" s="383"/>
      <c r="D11" s="383"/>
      <c r="E11" s="395"/>
      <c r="F11" s="377"/>
      <c r="G11" s="377"/>
      <c r="H11" s="377"/>
      <c r="I11" s="377"/>
      <c r="J11" s="374"/>
      <c r="K11" s="377"/>
      <c r="L11" s="377"/>
      <c r="M11" s="377"/>
      <c r="N11" s="377"/>
      <c r="O11" s="386"/>
    </row>
    <row r="12" spans="1:15" s="28" customFormat="1" ht="11.45" customHeight="1" thickTop="1" thickBot="1">
      <c r="A12" s="52" t="s">
        <v>1</v>
      </c>
      <c r="B12" s="53" t="s">
        <v>2</v>
      </c>
      <c r="C12" s="53" t="s">
        <v>3</v>
      </c>
      <c r="D12" s="53" t="s">
        <v>4</v>
      </c>
      <c r="E12" s="53" t="s">
        <v>25</v>
      </c>
      <c r="F12" s="53" t="s">
        <v>5</v>
      </c>
      <c r="G12" s="53" t="s">
        <v>6</v>
      </c>
      <c r="H12" s="53" t="s">
        <v>22</v>
      </c>
      <c r="I12" s="53" t="s">
        <v>7</v>
      </c>
      <c r="J12" s="54" t="s">
        <v>8</v>
      </c>
      <c r="K12" s="53" t="s">
        <v>9</v>
      </c>
      <c r="L12" s="54" t="s">
        <v>10</v>
      </c>
      <c r="M12" s="53" t="s">
        <v>11</v>
      </c>
      <c r="N12" s="54" t="s">
        <v>12</v>
      </c>
      <c r="O12" s="55" t="s">
        <v>24</v>
      </c>
    </row>
    <row r="13" spans="1:15" s="18" customFormat="1" ht="24.75" thickTop="1">
      <c r="A13" s="106">
        <v>1</v>
      </c>
      <c r="B13" s="2" t="s">
        <v>96</v>
      </c>
      <c r="C13" s="13" t="s">
        <v>30</v>
      </c>
      <c r="D13" s="10">
        <v>4</v>
      </c>
      <c r="E13" s="33"/>
      <c r="F13" s="33"/>
      <c r="G13" s="4"/>
      <c r="H13" s="134"/>
      <c r="I13" s="4"/>
      <c r="J13" s="337">
        <f t="shared" ref="J13" si="0">SUM(G13:I13)</f>
        <v>0</v>
      </c>
      <c r="K13" s="338">
        <f>ROUND(D13*E13,2)</f>
        <v>0</v>
      </c>
      <c r="L13" s="338">
        <f>ROUND(D13*G13,2)</f>
        <v>0</v>
      </c>
      <c r="M13" s="338">
        <f t="shared" ref="M13" si="1">ROUND(D13*H13,2)</f>
        <v>0</v>
      </c>
      <c r="N13" s="338">
        <f t="shared" ref="N13" si="2">ROUND(D13*I13,2)</f>
        <v>0</v>
      </c>
      <c r="O13" s="339">
        <f t="shared" ref="O13" si="3">ROUND(SUM(L13:N13),2)</f>
        <v>0</v>
      </c>
    </row>
    <row r="14" spans="1:15" s="18" customFormat="1" ht="36">
      <c r="A14" s="106">
        <f t="shared" ref="A14:A21" si="4">A13+1</f>
        <v>2</v>
      </c>
      <c r="B14" s="173" t="s">
        <v>201</v>
      </c>
      <c r="C14" s="13" t="s">
        <v>284</v>
      </c>
      <c r="D14" s="14">
        <v>1</v>
      </c>
      <c r="E14" s="33"/>
      <c r="F14" s="33"/>
      <c r="G14" s="4"/>
      <c r="H14" s="134"/>
      <c r="I14" s="4"/>
      <c r="J14" s="337">
        <f t="shared" ref="J14:J15" si="5">SUM(G14:I14)</f>
        <v>0</v>
      </c>
      <c r="K14" s="338">
        <f t="shared" ref="K14:K15" si="6">ROUND(D14*E14,2)</f>
        <v>0</v>
      </c>
      <c r="L14" s="338">
        <f t="shared" ref="L14:L15" si="7">ROUND(D14*G14,2)</f>
        <v>0</v>
      </c>
      <c r="M14" s="338">
        <f t="shared" ref="M14:M15" si="8">ROUND(D14*H14,2)</f>
        <v>0</v>
      </c>
      <c r="N14" s="338">
        <f t="shared" ref="N14:N15" si="9">ROUND(D14*I14,2)</f>
        <v>0</v>
      </c>
      <c r="O14" s="339">
        <f t="shared" ref="O14" si="10">ROUND(SUM(L14:N14),2)</f>
        <v>0</v>
      </c>
    </row>
    <row r="15" spans="1:15" s="18" customFormat="1" ht="24">
      <c r="A15" s="106">
        <f t="shared" si="4"/>
        <v>3</v>
      </c>
      <c r="B15" s="173" t="s">
        <v>202</v>
      </c>
      <c r="C15" s="13" t="s">
        <v>284</v>
      </c>
      <c r="D15" s="14">
        <v>1</v>
      </c>
      <c r="E15" s="33"/>
      <c r="F15" s="33"/>
      <c r="G15" s="4"/>
      <c r="H15" s="134"/>
      <c r="I15" s="4"/>
      <c r="J15" s="337">
        <f t="shared" si="5"/>
        <v>0</v>
      </c>
      <c r="K15" s="338">
        <f t="shared" si="6"/>
        <v>0</v>
      </c>
      <c r="L15" s="338">
        <f t="shared" si="7"/>
        <v>0</v>
      </c>
      <c r="M15" s="338">
        <f t="shared" si="8"/>
        <v>0</v>
      </c>
      <c r="N15" s="338">
        <f t="shared" si="9"/>
        <v>0</v>
      </c>
      <c r="O15" s="339"/>
    </row>
    <row r="16" spans="1:15" s="18" customFormat="1" ht="24">
      <c r="A16" s="106">
        <f t="shared" si="4"/>
        <v>4</v>
      </c>
      <c r="B16" s="173" t="s">
        <v>203</v>
      </c>
      <c r="C16" s="13" t="s">
        <v>284</v>
      </c>
      <c r="D16" s="14">
        <v>1</v>
      </c>
      <c r="E16" s="33"/>
      <c r="F16" s="33"/>
      <c r="G16" s="4"/>
      <c r="H16" s="134"/>
      <c r="I16" s="4"/>
      <c r="J16" s="337"/>
      <c r="K16" s="338"/>
      <c r="L16" s="338"/>
      <c r="M16" s="338"/>
      <c r="N16" s="338"/>
      <c r="O16" s="339"/>
    </row>
    <row r="17" spans="1:15" s="18" customFormat="1" ht="24">
      <c r="A17" s="106">
        <f t="shared" si="4"/>
        <v>5</v>
      </c>
      <c r="B17" s="173" t="s">
        <v>204</v>
      </c>
      <c r="C17" s="13" t="s">
        <v>284</v>
      </c>
      <c r="D17" s="14">
        <v>1</v>
      </c>
      <c r="E17" s="33"/>
      <c r="F17" s="33"/>
      <c r="G17" s="4"/>
      <c r="H17" s="134"/>
      <c r="I17" s="4"/>
      <c r="J17" s="337"/>
      <c r="K17" s="338"/>
      <c r="L17" s="338"/>
      <c r="M17" s="338"/>
      <c r="N17" s="338"/>
      <c r="O17" s="339"/>
    </row>
    <row r="18" spans="1:15" s="18" customFormat="1" ht="14.25">
      <c r="A18" s="106">
        <f t="shared" si="4"/>
        <v>6</v>
      </c>
      <c r="B18" s="173" t="s">
        <v>139</v>
      </c>
      <c r="C18" s="13" t="s">
        <v>284</v>
      </c>
      <c r="D18" s="14">
        <v>1</v>
      </c>
      <c r="E18" s="33"/>
      <c r="F18" s="33"/>
      <c r="G18" s="4"/>
      <c r="H18" s="4"/>
      <c r="I18" s="4"/>
      <c r="J18" s="337"/>
      <c r="K18" s="338"/>
      <c r="L18" s="338"/>
      <c r="M18" s="338"/>
      <c r="N18" s="338"/>
      <c r="O18" s="339"/>
    </row>
    <row r="19" spans="1:15" s="18" customFormat="1" ht="14.25">
      <c r="A19" s="106">
        <f t="shared" si="4"/>
        <v>7</v>
      </c>
      <c r="B19" s="2" t="s">
        <v>205</v>
      </c>
      <c r="C19" s="13" t="s">
        <v>284</v>
      </c>
      <c r="D19" s="14">
        <v>1</v>
      </c>
      <c r="E19" s="33"/>
      <c r="F19" s="33"/>
      <c r="G19" s="4"/>
      <c r="H19" s="134"/>
      <c r="I19" s="112"/>
      <c r="J19" s="337"/>
      <c r="K19" s="338"/>
      <c r="L19" s="338"/>
      <c r="M19" s="338"/>
      <c r="N19" s="338"/>
      <c r="O19" s="339"/>
    </row>
    <row r="20" spans="1:15" s="18" customFormat="1" ht="14.25">
      <c r="A20" s="106">
        <f t="shared" si="4"/>
        <v>8</v>
      </c>
      <c r="B20" s="49" t="s">
        <v>97</v>
      </c>
      <c r="C20" s="13" t="s">
        <v>284</v>
      </c>
      <c r="D20" s="14">
        <v>1</v>
      </c>
      <c r="E20" s="33"/>
      <c r="F20" s="33"/>
      <c r="G20" s="4"/>
      <c r="H20" s="134"/>
      <c r="I20" s="4"/>
      <c r="J20" s="337"/>
      <c r="K20" s="338"/>
      <c r="L20" s="338"/>
      <c r="M20" s="338"/>
      <c r="N20" s="338"/>
      <c r="O20" s="339"/>
    </row>
    <row r="21" spans="1:15" s="18" customFormat="1" ht="36">
      <c r="A21" s="106">
        <f t="shared" si="4"/>
        <v>9</v>
      </c>
      <c r="B21" s="2" t="s">
        <v>98</v>
      </c>
      <c r="C21" s="13" t="s">
        <v>284</v>
      </c>
      <c r="D21" s="14">
        <v>1</v>
      </c>
      <c r="E21" s="33"/>
      <c r="F21" s="33"/>
      <c r="G21" s="4"/>
      <c r="H21" s="134"/>
      <c r="I21" s="4"/>
      <c r="J21" s="337"/>
      <c r="K21" s="338"/>
      <c r="L21" s="338"/>
      <c r="M21" s="338"/>
      <c r="N21" s="338"/>
      <c r="O21" s="339"/>
    </row>
    <row r="22" spans="1:15" s="18" customFormat="1" ht="14.25">
      <c r="A22" s="106">
        <f>A21+1</f>
        <v>10</v>
      </c>
      <c r="B22" s="2" t="s">
        <v>35</v>
      </c>
      <c r="C22" s="13" t="s">
        <v>284</v>
      </c>
      <c r="D22" s="14">
        <v>1</v>
      </c>
      <c r="E22" s="33"/>
      <c r="F22" s="33"/>
      <c r="G22" s="4"/>
      <c r="H22" s="134"/>
      <c r="I22" s="4"/>
      <c r="J22" s="337"/>
      <c r="K22" s="338"/>
      <c r="L22" s="338"/>
      <c r="M22" s="338"/>
      <c r="N22" s="338"/>
      <c r="O22" s="339"/>
    </row>
    <row r="23" spans="1:15" s="18" customFormat="1" ht="14.25">
      <c r="A23" s="106">
        <f>A22+1</f>
        <v>11</v>
      </c>
      <c r="B23" s="2" t="s">
        <v>99</v>
      </c>
      <c r="C23" s="13" t="s">
        <v>284</v>
      </c>
      <c r="D23" s="14">
        <v>1</v>
      </c>
      <c r="E23" s="33"/>
      <c r="F23" s="33"/>
      <c r="G23" s="4"/>
      <c r="H23" s="134"/>
      <c r="I23" s="4"/>
      <c r="J23" s="337"/>
      <c r="K23" s="338"/>
      <c r="L23" s="338"/>
      <c r="M23" s="338"/>
      <c r="N23" s="338"/>
      <c r="O23" s="339"/>
    </row>
    <row r="24" spans="1:15" s="26" customFormat="1" ht="14.25">
      <c r="A24" s="106">
        <f>A23+1</f>
        <v>12</v>
      </c>
      <c r="B24" s="49" t="s">
        <v>44</v>
      </c>
      <c r="C24" s="13" t="s">
        <v>14</v>
      </c>
      <c r="D24" s="14">
        <v>180</v>
      </c>
      <c r="E24" s="33"/>
      <c r="F24" s="132"/>
      <c r="G24" s="4"/>
      <c r="H24" s="4"/>
      <c r="I24" s="4"/>
      <c r="J24" s="337"/>
      <c r="K24" s="338"/>
      <c r="L24" s="338"/>
      <c r="M24" s="338"/>
      <c r="N24" s="338"/>
      <c r="O24" s="339"/>
    </row>
    <row r="25" spans="1:15" s="26" customFormat="1" ht="36">
      <c r="A25" s="106">
        <f>A24+1</f>
        <v>13</v>
      </c>
      <c r="B25" s="2" t="s">
        <v>77</v>
      </c>
      <c r="C25" s="44" t="s">
        <v>42</v>
      </c>
      <c r="D25" s="8">
        <v>770</v>
      </c>
      <c r="E25" s="33"/>
      <c r="F25" s="132"/>
      <c r="G25" s="4"/>
      <c r="H25" s="4"/>
      <c r="I25" s="4"/>
      <c r="J25" s="337"/>
      <c r="K25" s="338"/>
      <c r="L25" s="338"/>
      <c r="M25" s="338"/>
      <c r="N25" s="338"/>
      <c r="O25" s="339"/>
    </row>
    <row r="26" spans="1:15" s="18" customFormat="1" ht="14.25">
      <c r="A26" s="19" t="s">
        <v>1365</v>
      </c>
      <c r="B26" s="24" t="s">
        <v>1588</v>
      </c>
      <c r="C26" s="44" t="s">
        <v>42</v>
      </c>
      <c r="D26" s="8">
        <f>D25</f>
        <v>770</v>
      </c>
      <c r="E26" s="33"/>
      <c r="F26" s="33"/>
      <c r="G26" s="4"/>
      <c r="H26" s="4"/>
      <c r="I26" s="4"/>
      <c r="J26" s="337"/>
      <c r="K26" s="338"/>
      <c r="L26" s="338"/>
      <c r="M26" s="338"/>
      <c r="N26" s="338"/>
      <c r="O26" s="339"/>
    </row>
    <row r="27" spans="1:15" s="23" customFormat="1">
      <c r="A27" s="19" t="s">
        <v>1366</v>
      </c>
      <c r="B27" s="49" t="s">
        <v>75</v>
      </c>
      <c r="C27" s="13" t="s">
        <v>42</v>
      </c>
      <c r="D27" s="14">
        <f>D25</f>
        <v>770</v>
      </c>
      <c r="E27" s="132"/>
      <c r="F27" s="132"/>
      <c r="G27" s="4"/>
      <c r="H27" s="4"/>
      <c r="I27" s="4"/>
      <c r="J27" s="337"/>
      <c r="K27" s="338"/>
      <c r="L27" s="338"/>
      <c r="M27" s="338"/>
      <c r="N27" s="338"/>
      <c r="O27" s="339"/>
    </row>
    <row r="28" spans="1:15" s="41" customFormat="1" ht="14.25">
      <c r="A28" s="19" t="s">
        <v>12</v>
      </c>
      <c r="B28" s="174" t="s">
        <v>76</v>
      </c>
      <c r="C28" s="116" t="s">
        <v>29</v>
      </c>
      <c r="D28" s="175">
        <v>2</v>
      </c>
      <c r="E28" s="160"/>
      <c r="F28" s="132"/>
      <c r="G28" s="4"/>
      <c r="H28" s="112"/>
      <c r="I28" s="112"/>
      <c r="J28" s="337"/>
      <c r="K28" s="338"/>
      <c r="L28" s="338"/>
      <c r="M28" s="338"/>
      <c r="N28" s="338"/>
      <c r="O28" s="339"/>
    </row>
    <row r="29" spans="1:15" s="26" customFormat="1" ht="14.25">
      <c r="A29" s="19">
        <f t="shared" ref="A29:A34" si="11">A28+1</f>
        <v>15</v>
      </c>
      <c r="B29" s="135" t="s">
        <v>32</v>
      </c>
      <c r="C29" s="44" t="s">
        <v>31</v>
      </c>
      <c r="D29" s="8">
        <v>380</v>
      </c>
      <c r="E29" s="33"/>
      <c r="F29" s="132"/>
      <c r="G29" s="4"/>
      <c r="H29" s="4"/>
      <c r="I29" s="4"/>
      <c r="J29" s="337"/>
      <c r="K29" s="338"/>
      <c r="L29" s="338"/>
      <c r="M29" s="338"/>
      <c r="N29" s="338"/>
      <c r="O29" s="339"/>
    </row>
    <row r="30" spans="1:15" s="26" customFormat="1" ht="14.25">
      <c r="A30" s="19" t="s">
        <v>1368</v>
      </c>
      <c r="B30" s="24" t="s">
        <v>33</v>
      </c>
      <c r="C30" s="13" t="s">
        <v>34</v>
      </c>
      <c r="D30" s="14">
        <f>D29*23/100/8*1.5</f>
        <v>16.387500000000003</v>
      </c>
      <c r="E30" s="36"/>
      <c r="F30" s="33"/>
      <c r="G30" s="4"/>
      <c r="H30" s="4"/>
      <c r="I30" s="4"/>
      <c r="J30" s="337"/>
      <c r="K30" s="338"/>
      <c r="L30" s="338"/>
      <c r="M30" s="338"/>
      <c r="N30" s="338"/>
      <c r="O30" s="339"/>
    </row>
    <row r="31" spans="1:15" s="23" customFormat="1">
      <c r="A31" s="19" t="s">
        <v>1367</v>
      </c>
      <c r="B31" s="49" t="s">
        <v>45</v>
      </c>
      <c r="C31" s="13" t="s">
        <v>26</v>
      </c>
      <c r="D31" s="14">
        <v>320</v>
      </c>
      <c r="E31" s="132"/>
      <c r="F31" s="132"/>
      <c r="G31" s="4"/>
      <c r="H31" s="4"/>
      <c r="I31" s="4"/>
      <c r="J31" s="337"/>
      <c r="K31" s="338"/>
      <c r="L31" s="338"/>
      <c r="M31" s="338"/>
      <c r="N31" s="338"/>
      <c r="O31" s="339"/>
    </row>
    <row r="32" spans="1:15" s="23" customFormat="1">
      <c r="A32" s="19">
        <f t="shared" si="11"/>
        <v>17</v>
      </c>
      <c r="B32" s="158" t="s">
        <v>206</v>
      </c>
      <c r="C32" s="13" t="s">
        <v>30</v>
      </c>
      <c r="D32" s="10">
        <v>1</v>
      </c>
      <c r="E32" s="132"/>
      <c r="F32" s="132"/>
      <c r="G32" s="4"/>
      <c r="H32" s="4"/>
      <c r="I32" s="112"/>
      <c r="J32" s="337"/>
      <c r="K32" s="338"/>
      <c r="L32" s="338"/>
      <c r="M32" s="338"/>
      <c r="N32" s="338"/>
      <c r="O32" s="339"/>
    </row>
    <row r="33" spans="1:16" s="23" customFormat="1" ht="24">
      <c r="A33" s="19">
        <f t="shared" si="11"/>
        <v>18</v>
      </c>
      <c r="B33" s="2" t="s">
        <v>207</v>
      </c>
      <c r="C33" s="13" t="s">
        <v>284</v>
      </c>
      <c r="D33" s="14">
        <v>1</v>
      </c>
      <c r="E33" s="33"/>
      <c r="F33" s="132"/>
      <c r="G33" s="4"/>
      <c r="H33" s="4"/>
      <c r="I33" s="4"/>
      <c r="J33" s="337"/>
      <c r="K33" s="338"/>
      <c r="L33" s="338"/>
      <c r="M33" s="338"/>
      <c r="N33" s="338"/>
      <c r="O33" s="339"/>
    </row>
    <row r="34" spans="1:16" s="23" customFormat="1">
      <c r="A34" s="19">
        <f t="shared" si="11"/>
        <v>19</v>
      </c>
      <c r="B34" s="2" t="s">
        <v>208</v>
      </c>
      <c r="C34" s="13" t="s">
        <v>284</v>
      </c>
      <c r="D34" s="14">
        <v>1</v>
      </c>
      <c r="E34" s="153"/>
      <c r="F34" s="153"/>
      <c r="G34" s="160"/>
      <c r="H34" s="4"/>
      <c r="I34" s="4"/>
      <c r="J34" s="337"/>
      <c r="K34" s="338"/>
      <c r="L34" s="338"/>
      <c r="M34" s="338"/>
      <c r="N34" s="338"/>
      <c r="O34" s="339"/>
    </row>
    <row r="35" spans="1:16" s="23" customFormat="1">
      <c r="A35" s="19">
        <f>A34+1</f>
        <v>20</v>
      </c>
      <c r="B35" s="49" t="s">
        <v>103</v>
      </c>
      <c r="C35" s="13" t="s">
        <v>30</v>
      </c>
      <c r="D35" s="10">
        <v>1</v>
      </c>
      <c r="E35" s="132"/>
      <c r="F35" s="132"/>
      <c r="G35" s="4"/>
      <c r="H35" s="4"/>
      <c r="I35" s="4"/>
      <c r="J35" s="337"/>
      <c r="K35" s="338"/>
      <c r="L35" s="338"/>
      <c r="M35" s="338"/>
      <c r="N35" s="338"/>
      <c r="O35" s="339"/>
    </row>
    <row r="36" spans="1:16" s="18" customFormat="1" ht="15" thickBot="1">
      <c r="A36" s="19">
        <f>A35+1</f>
        <v>21</v>
      </c>
      <c r="B36" s="49" t="s">
        <v>100</v>
      </c>
      <c r="C36" s="13" t="s">
        <v>30</v>
      </c>
      <c r="D36" s="10">
        <v>1</v>
      </c>
      <c r="E36" s="33"/>
      <c r="F36" s="33"/>
      <c r="G36" s="4"/>
      <c r="H36" s="4"/>
      <c r="I36" s="4"/>
      <c r="J36" s="334"/>
      <c r="K36" s="335"/>
      <c r="L36" s="335"/>
      <c r="M36" s="335"/>
      <c r="N36" s="335"/>
      <c r="O36" s="336"/>
    </row>
    <row r="37" spans="1:16" s="27" customFormat="1" ht="15.75" thickTop="1" thickBot="1">
      <c r="A37" s="39"/>
      <c r="B37" s="387" t="s">
        <v>1587</v>
      </c>
      <c r="C37" s="388"/>
      <c r="D37" s="388"/>
      <c r="E37" s="388"/>
      <c r="F37" s="388"/>
      <c r="G37" s="388"/>
      <c r="H37" s="388"/>
      <c r="I37" s="388"/>
      <c r="J37" s="389"/>
      <c r="K37" s="145"/>
      <c r="L37" s="145"/>
      <c r="M37" s="145"/>
      <c r="N37" s="145"/>
      <c r="O37" s="183"/>
      <c r="P37" s="26"/>
    </row>
    <row r="38" spans="1:16" s="27" customFormat="1" ht="15" thickTop="1">
      <c r="A38" s="26"/>
      <c r="B38" s="45"/>
      <c r="C38" s="46"/>
      <c r="D38" s="47"/>
      <c r="E38" s="28"/>
      <c r="F38" s="28"/>
      <c r="G38" s="28"/>
      <c r="H38" s="28"/>
      <c r="I38" s="28"/>
      <c r="J38" s="28"/>
      <c r="K38" s="48"/>
      <c r="L38" s="48"/>
      <c r="M38" s="48"/>
      <c r="N38" s="48"/>
      <c r="O38" s="48"/>
      <c r="P38" s="26"/>
    </row>
    <row r="39" spans="1:16" s="27" customFormat="1" ht="14.25">
      <c r="A39" s="15"/>
      <c r="B39" s="65"/>
      <c r="C39" s="15"/>
      <c r="D39" s="15"/>
      <c r="E39" s="15"/>
      <c r="F39" s="15"/>
      <c r="G39" s="15"/>
      <c r="H39" s="15"/>
      <c r="P39" s="26"/>
    </row>
    <row r="40" spans="1:16" s="27" customFormat="1" ht="14.25">
      <c r="A40" s="117"/>
      <c r="B40" s="172" t="s">
        <v>209</v>
      </c>
      <c r="C40" s="117"/>
      <c r="D40" s="117"/>
      <c r="E40" s="117"/>
      <c r="F40" s="117"/>
      <c r="G40" s="117"/>
      <c r="H40" s="117"/>
      <c r="I40" s="102"/>
      <c r="J40" s="102"/>
      <c r="K40" s="102"/>
      <c r="L40" s="102"/>
      <c r="M40" s="102"/>
      <c r="N40" s="102"/>
      <c r="O40" s="102"/>
      <c r="P40" s="26"/>
    </row>
    <row r="41" spans="1:16" s="27" customFormat="1" ht="14.25">
      <c r="A41" s="117"/>
      <c r="B41" s="172"/>
      <c r="C41" s="117"/>
      <c r="D41" s="117"/>
      <c r="E41" s="117"/>
      <c r="F41" s="117"/>
      <c r="G41" s="117"/>
      <c r="H41" s="117"/>
      <c r="I41" s="102"/>
      <c r="J41" s="102"/>
      <c r="K41" s="102"/>
      <c r="L41" s="102"/>
      <c r="M41" s="102"/>
      <c r="N41" s="102"/>
      <c r="O41" s="102"/>
      <c r="P41" s="26"/>
    </row>
    <row r="42" spans="1:16" s="102" customFormat="1" ht="14.25">
      <c r="A42" s="15"/>
      <c r="B42" s="92">
        <f ca="1">TODAY()</f>
        <v>43206</v>
      </c>
      <c r="C42" s="15"/>
      <c r="D42" s="15"/>
      <c r="E42" s="15"/>
      <c r="F42" s="15"/>
      <c r="G42" s="15"/>
      <c r="H42" s="15"/>
      <c r="I42" s="27"/>
      <c r="J42" s="27"/>
      <c r="K42" s="27"/>
      <c r="L42" s="27"/>
      <c r="M42" s="27"/>
      <c r="N42" s="27"/>
      <c r="O42" s="27"/>
      <c r="P42" s="25"/>
    </row>
    <row r="43" spans="1:16" s="102" customFormat="1" ht="14.25">
      <c r="A43" s="15"/>
      <c r="B43" s="15"/>
      <c r="C43" s="15"/>
      <c r="D43" s="15"/>
      <c r="E43" s="15"/>
      <c r="F43" s="15"/>
      <c r="G43" s="15"/>
      <c r="H43" s="15"/>
      <c r="I43" s="27"/>
      <c r="J43" s="27"/>
      <c r="K43" s="27"/>
      <c r="L43" s="27"/>
      <c r="M43" s="27"/>
      <c r="N43" s="27"/>
      <c r="O43" s="27"/>
      <c r="P43" s="25"/>
    </row>
    <row r="44" spans="1:16" s="27" customFormat="1" ht="14.25">
      <c r="P44" s="26"/>
    </row>
    <row r="45" spans="1:16" s="27" customFormat="1" ht="14.25">
      <c r="A45" s="15"/>
      <c r="B45" s="15"/>
      <c r="C45" s="15"/>
      <c r="D45" s="15"/>
      <c r="E45" s="15"/>
      <c r="F45" s="15"/>
      <c r="G45" s="15"/>
      <c r="H45" s="15"/>
      <c r="I45" s="15"/>
      <c r="J45" s="15"/>
      <c r="K45" s="15"/>
      <c r="L45" s="15"/>
      <c r="M45" s="15"/>
      <c r="N45" s="15"/>
      <c r="O45" s="15"/>
      <c r="P45" s="26"/>
    </row>
    <row r="46" spans="1:16" s="27" customFormat="1" ht="14.25">
      <c r="A46" s="15"/>
      <c r="B46" s="15"/>
      <c r="C46" s="15"/>
      <c r="D46" s="15"/>
      <c r="E46" s="15"/>
      <c r="F46" s="15"/>
      <c r="G46" s="15"/>
      <c r="H46" s="15"/>
      <c r="I46" s="15"/>
      <c r="J46" s="15"/>
      <c r="K46" s="15"/>
      <c r="L46" s="15"/>
      <c r="M46" s="15"/>
      <c r="N46" s="15"/>
      <c r="O46" s="15"/>
      <c r="P46" s="26"/>
    </row>
    <row r="47" spans="1:16">
      <c r="P47" s="28"/>
    </row>
    <row r="48" spans="1:16">
      <c r="P48" s="28"/>
    </row>
    <row r="49" spans="16:16">
      <c r="P49" s="28"/>
    </row>
    <row r="50" spans="16:16">
      <c r="P50" s="28"/>
    </row>
    <row r="51" spans="16:16">
      <c r="P51" s="28"/>
    </row>
    <row r="52" spans="16:16">
      <c r="P52" s="28"/>
    </row>
    <row r="53" spans="16:16">
      <c r="P53" s="28"/>
    </row>
    <row r="54" spans="16:16">
      <c r="P54" s="28"/>
    </row>
    <row r="55" spans="16:16">
      <c r="P55" s="28"/>
    </row>
    <row r="56" spans="16:16">
      <c r="P56" s="28"/>
    </row>
    <row r="57" spans="16:16">
      <c r="P57" s="28"/>
    </row>
    <row r="58" spans="16:16">
      <c r="P58" s="28"/>
    </row>
    <row r="59" spans="16:16">
      <c r="P59" s="28"/>
    </row>
    <row r="60" spans="16:16">
      <c r="P60" s="28"/>
    </row>
    <row r="61" spans="16:16">
      <c r="P61" s="28"/>
    </row>
    <row r="62" spans="16:16">
      <c r="P62" s="28"/>
    </row>
    <row r="63" spans="16:16">
      <c r="P63" s="28"/>
    </row>
    <row r="64" spans="16:16">
      <c r="P64" s="28"/>
    </row>
    <row r="65" spans="16:16">
      <c r="P65" s="28"/>
    </row>
    <row r="66" spans="16:16">
      <c r="P66" s="28"/>
    </row>
    <row r="67" spans="16:16">
      <c r="P67" s="28"/>
    </row>
    <row r="68" spans="16:16">
      <c r="P68" s="28"/>
    </row>
    <row r="69" spans="16:16">
      <c r="P69" s="28"/>
    </row>
    <row r="70" spans="16:16">
      <c r="P70" s="28"/>
    </row>
    <row r="71" spans="16:16">
      <c r="P71" s="28"/>
    </row>
    <row r="72" spans="16:16">
      <c r="P72" s="28"/>
    </row>
    <row r="73" spans="16:16">
      <c r="P73" s="28"/>
    </row>
    <row r="74" spans="16:16">
      <c r="P74" s="28"/>
    </row>
    <row r="75" spans="16:16">
      <c r="P75" s="28"/>
    </row>
    <row r="76" spans="16:16">
      <c r="P76" s="28"/>
    </row>
    <row r="77" spans="16:16">
      <c r="P77" s="28"/>
    </row>
    <row r="78" spans="16:16">
      <c r="P78" s="28"/>
    </row>
    <row r="79" spans="16:16">
      <c r="P79" s="28"/>
    </row>
    <row r="80" spans="16:16">
      <c r="P80" s="28"/>
    </row>
    <row r="81" spans="16:16">
      <c r="P81" s="28"/>
    </row>
    <row r="82" spans="16:16">
      <c r="P82" s="28"/>
    </row>
    <row r="83" spans="16:16">
      <c r="P83" s="28"/>
    </row>
    <row r="84" spans="16:16">
      <c r="P84" s="28"/>
    </row>
    <row r="85" spans="16:16">
      <c r="P85" s="28"/>
    </row>
    <row r="86" spans="16:16">
      <c r="P86" s="28"/>
    </row>
    <row r="87" spans="16:16">
      <c r="P87" s="28"/>
    </row>
    <row r="88" spans="16:16">
      <c r="P88" s="28"/>
    </row>
    <row r="89" spans="16:16">
      <c r="P89" s="28"/>
    </row>
    <row r="90" spans="16:16">
      <c r="P90" s="28"/>
    </row>
    <row r="91" spans="16:16">
      <c r="P91" s="28"/>
    </row>
    <row r="92" spans="16:16">
      <c r="P92" s="28"/>
    </row>
    <row r="93" spans="16:16">
      <c r="P93" s="28"/>
    </row>
    <row r="94" spans="16:16">
      <c r="P94" s="28"/>
    </row>
    <row r="95" spans="16:16">
      <c r="P95" s="28"/>
    </row>
    <row r="96" spans="16:16">
      <c r="P96" s="28"/>
    </row>
    <row r="97" spans="16:16">
      <c r="P97" s="28"/>
    </row>
    <row r="98" spans="16:16">
      <c r="P98" s="28"/>
    </row>
    <row r="99" spans="16:16">
      <c r="P99" s="28"/>
    </row>
    <row r="100" spans="16:16">
      <c r="P100" s="28"/>
    </row>
    <row r="101" spans="16:16">
      <c r="P101" s="28"/>
    </row>
    <row r="102" spans="16:16">
      <c r="P102" s="28"/>
    </row>
    <row r="103" spans="16:16">
      <c r="P103" s="28"/>
    </row>
    <row r="104" spans="16:16">
      <c r="P104" s="28"/>
    </row>
    <row r="105" spans="16:16">
      <c r="P105" s="28"/>
    </row>
    <row r="106" spans="16:16">
      <c r="P106" s="28"/>
    </row>
    <row r="107" spans="16:16">
      <c r="P107" s="28"/>
    </row>
    <row r="108" spans="16:16">
      <c r="P108" s="28"/>
    </row>
    <row r="109" spans="16:16">
      <c r="P109" s="28"/>
    </row>
    <row r="110" spans="16:16">
      <c r="P110" s="28"/>
    </row>
    <row r="111" spans="16:16">
      <c r="P111" s="28"/>
    </row>
    <row r="112" spans="16:16">
      <c r="P112" s="28"/>
    </row>
    <row r="113" spans="16:16">
      <c r="P113" s="28"/>
    </row>
    <row r="114" spans="16:16">
      <c r="P114" s="28"/>
    </row>
    <row r="115" spans="16:16">
      <c r="P115" s="28"/>
    </row>
    <row r="116" spans="16:16">
      <c r="P116" s="28"/>
    </row>
    <row r="117" spans="16:16">
      <c r="P117" s="28"/>
    </row>
    <row r="118" spans="16:16">
      <c r="P118" s="28"/>
    </row>
    <row r="119" spans="16:16">
      <c r="P119" s="28"/>
    </row>
    <row r="120" spans="16:16">
      <c r="P120" s="28"/>
    </row>
    <row r="121" spans="16:16">
      <c r="P121" s="28"/>
    </row>
    <row r="122" spans="16:16">
      <c r="P122" s="28"/>
    </row>
    <row r="123" spans="16:16">
      <c r="P123" s="28"/>
    </row>
    <row r="124" spans="16:16">
      <c r="P124" s="28"/>
    </row>
    <row r="125" spans="16:16">
      <c r="P125" s="28"/>
    </row>
    <row r="126" spans="16:16">
      <c r="P126" s="28"/>
    </row>
    <row r="127" spans="16:16">
      <c r="P127" s="28"/>
    </row>
    <row r="128" spans="16:16">
      <c r="P128" s="28"/>
    </row>
    <row r="129" spans="16:16">
      <c r="P129" s="28"/>
    </row>
    <row r="130" spans="16:16">
      <c r="P130" s="28"/>
    </row>
    <row r="131" spans="16:16">
      <c r="P131" s="28"/>
    </row>
    <row r="132" spans="16:16">
      <c r="P132" s="28"/>
    </row>
    <row r="133" spans="16:16">
      <c r="P133" s="28"/>
    </row>
    <row r="134" spans="16:16">
      <c r="P134" s="28"/>
    </row>
    <row r="135" spans="16:16">
      <c r="P135" s="28"/>
    </row>
    <row r="136" spans="16:16">
      <c r="P136" s="28"/>
    </row>
    <row r="137" spans="16:16">
      <c r="P137" s="28"/>
    </row>
    <row r="138" spans="16:16">
      <c r="P138" s="28"/>
    </row>
    <row r="139" spans="16:16">
      <c r="P139" s="28"/>
    </row>
    <row r="140" spans="16:16">
      <c r="P140" s="28"/>
    </row>
    <row r="141" spans="16:16">
      <c r="P141" s="28"/>
    </row>
    <row r="142" spans="16:16">
      <c r="P142" s="28"/>
    </row>
    <row r="143" spans="16:16">
      <c r="P143" s="28"/>
    </row>
    <row r="144" spans="16:16">
      <c r="P144" s="28"/>
    </row>
    <row r="145" spans="16:16">
      <c r="P145" s="28"/>
    </row>
    <row r="146" spans="16:16">
      <c r="P146" s="28"/>
    </row>
    <row r="147" spans="16:16">
      <c r="P147" s="28"/>
    </row>
    <row r="148" spans="16:16">
      <c r="P148" s="28"/>
    </row>
    <row r="149" spans="16:16">
      <c r="P149" s="28"/>
    </row>
    <row r="150" spans="16:16">
      <c r="P150" s="28"/>
    </row>
    <row r="151" spans="16:16">
      <c r="P151" s="28"/>
    </row>
    <row r="152" spans="16:16">
      <c r="P152" s="28"/>
    </row>
    <row r="153" spans="16:16">
      <c r="P153" s="28"/>
    </row>
    <row r="154" spans="16:16">
      <c r="P154" s="28"/>
    </row>
    <row r="155" spans="16:16">
      <c r="P155" s="28"/>
    </row>
    <row r="156" spans="16:16">
      <c r="P156" s="28"/>
    </row>
    <row r="157" spans="16:16">
      <c r="P157" s="28"/>
    </row>
    <row r="158" spans="16:16">
      <c r="P158" s="28"/>
    </row>
    <row r="159" spans="16:16">
      <c r="P159" s="28"/>
    </row>
    <row r="160" spans="16:16">
      <c r="P160" s="28"/>
    </row>
    <row r="161" spans="16:16">
      <c r="P161" s="28"/>
    </row>
    <row r="162" spans="16:16">
      <c r="P162" s="28"/>
    </row>
    <row r="163" spans="16:16">
      <c r="P163" s="28"/>
    </row>
    <row r="164" spans="16:16">
      <c r="P164" s="28"/>
    </row>
    <row r="165" spans="16:16">
      <c r="P165" s="28"/>
    </row>
    <row r="166" spans="16:16">
      <c r="P166" s="28"/>
    </row>
    <row r="167" spans="16:16">
      <c r="P167" s="28"/>
    </row>
    <row r="168" spans="16:16">
      <c r="P168" s="28"/>
    </row>
    <row r="169" spans="16:16">
      <c r="P169" s="28"/>
    </row>
    <row r="170" spans="16:16">
      <c r="P170" s="28"/>
    </row>
    <row r="171" spans="16:16">
      <c r="P171" s="28"/>
    </row>
    <row r="172" spans="16:16">
      <c r="P172" s="28"/>
    </row>
    <row r="173" spans="16:16">
      <c r="P173" s="28"/>
    </row>
    <row r="174" spans="16:16">
      <c r="P174" s="28"/>
    </row>
    <row r="175" spans="16:16">
      <c r="P175" s="28"/>
    </row>
    <row r="176" spans="16:16">
      <c r="P176" s="28"/>
    </row>
    <row r="177" spans="16:16">
      <c r="P177" s="28"/>
    </row>
    <row r="178" spans="16:16">
      <c r="P178" s="28"/>
    </row>
    <row r="179" spans="16:16">
      <c r="P179" s="28"/>
    </row>
    <row r="180" spans="16:16">
      <c r="P180" s="28"/>
    </row>
    <row r="181" spans="16:16">
      <c r="P181" s="28"/>
    </row>
    <row r="182" spans="16:16">
      <c r="P182" s="28"/>
    </row>
    <row r="183" spans="16:16">
      <c r="P183" s="28"/>
    </row>
    <row r="184" spans="16:16">
      <c r="P184" s="28"/>
    </row>
    <row r="185" spans="16:16">
      <c r="P185" s="28"/>
    </row>
  </sheetData>
  <mergeCells count="22">
    <mergeCell ref="B37:J37"/>
    <mergeCell ref="E7:J7"/>
    <mergeCell ref="K7:O7"/>
    <mergeCell ref="E8:E11"/>
    <mergeCell ref="F8:F11"/>
    <mergeCell ref="N8:N11"/>
    <mergeCell ref="A1:O1"/>
    <mergeCell ref="A2:O2"/>
    <mergeCell ref="J6:M6"/>
    <mergeCell ref="N6:O6"/>
    <mergeCell ref="J8:J11"/>
    <mergeCell ref="K8:K11"/>
    <mergeCell ref="L8:L11"/>
    <mergeCell ref="A7:A11"/>
    <mergeCell ref="B7:B11"/>
    <mergeCell ref="H8:H11"/>
    <mergeCell ref="I8:I11"/>
    <mergeCell ref="D7:D11"/>
    <mergeCell ref="M8:M11"/>
    <mergeCell ref="C7:C11"/>
    <mergeCell ref="G8:G11"/>
    <mergeCell ref="O8:O11"/>
  </mergeCells>
  <phoneticPr fontId="18" type="noConversion"/>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ignoredErrors>
    <ignoredError sqref="B12:O12 A1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24"/>
  <sheetViews>
    <sheetView topLeftCell="A88" zoomScaleNormal="100" workbookViewId="0">
      <selection activeCell="A97" sqref="A97:J99"/>
    </sheetView>
  </sheetViews>
  <sheetFormatPr defaultColWidth="9.140625" defaultRowHeight="12"/>
  <cols>
    <col min="1" max="1" width="4.5703125" style="220" customWidth="1"/>
    <col min="2" max="2" width="36.28515625" style="220" customWidth="1"/>
    <col min="3" max="4" width="7.28515625" style="220" customWidth="1"/>
    <col min="5" max="9" width="8.140625" style="220" customWidth="1"/>
    <col min="10" max="10" width="8.7109375" style="220" customWidth="1"/>
    <col min="11" max="14" width="9.140625" style="220" customWidth="1"/>
    <col min="15" max="15" width="11.140625" style="220" customWidth="1"/>
    <col min="16" max="16" width="9.28515625" style="220" customWidth="1"/>
    <col min="17" max="17" width="9.140625" style="220" customWidth="1"/>
    <col min="18" max="24" width="2.140625" style="220" customWidth="1"/>
    <col min="25" max="16384" width="9.140625" style="220"/>
  </cols>
  <sheetData>
    <row r="1" spans="1:15" s="27" customFormat="1" ht="14.25">
      <c r="A1" s="368" t="s">
        <v>258</v>
      </c>
      <c r="B1" s="368"/>
      <c r="C1" s="368"/>
      <c r="D1" s="368"/>
      <c r="E1" s="368"/>
      <c r="F1" s="368"/>
      <c r="G1" s="368"/>
      <c r="H1" s="368"/>
      <c r="I1" s="368"/>
      <c r="J1" s="368"/>
      <c r="K1" s="368"/>
      <c r="L1" s="368"/>
      <c r="M1" s="368"/>
      <c r="N1" s="368"/>
      <c r="O1" s="368"/>
    </row>
    <row r="2" spans="1:15" s="27" customFormat="1" ht="14.25">
      <c r="A2" s="405" t="str">
        <f>Kopsavilkums!C33</f>
        <v>ŪK</v>
      </c>
      <c r="B2" s="405"/>
      <c r="C2" s="405"/>
      <c r="D2" s="405"/>
      <c r="E2" s="405"/>
      <c r="F2" s="405"/>
      <c r="G2" s="405"/>
      <c r="H2" s="405"/>
      <c r="I2" s="405"/>
      <c r="J2" s="405"/>
      <c r="K2" s="405"/>
      <c r="L2" s="405"/>
      <c r="M2" s="405"/>
      <c r="N2" s="405"/>
      <c r="O2" s="405"/>
    </row>
    <row r="3" spans="1:15" s="27" customFormat="1" ht="14.25">
      <c r="A3" s="115" t="s">
        <v>1246</v>
      </c>
      <c r="B3" s="119"/>
      <c r="C3" s="119"/>
      <c r="D3" s="119"/>
      <c r="E3" s="119"/>
      <c r="F3" s="119"/>
      <c r="G3" s="119"/>
      <c r="H3" s="119"/>
      <c r="I3" s="119"/>
      <c r="J3" s="119"/>
      <c r="K3" s="119"/>
      <c r="L3" s="119"/>
      <c r="M3" s="119"/>
      <c r="N3" s="119"/>
      <c r="O3" s="119"/>
    </row>
    <row r="4" spans="1:15" s="27" customFormat="1" ht="14.25">
      <c r="A4" s="115" t="s">
        <v>307</v>
      </c>
      <c r="B4" s="119"/>
      <c r="C4" s="119"/>
      <c r="D4" s="119"/>
      <c r="E4" s="119"/>
      <c r="F4" s="119"/>
      <c r="G4" s="119"/>
      <c r="H4" s="119"/>
      <c r="I4" s="119"/>
      <c r="J4" s="119"/>
      <c r="K4" s="119"/>
      <c r="L4" s="119"/>
      <c r="M4" s="119"/>
      <c r="N4" s="119"/>
      <c r="O4" s="119"/>
    </row>
    <row r="5" spans="1:15" s="27" customFormat="1" ht="14.25">
      <c r="A5" s="115" t="s">
        <v>306</v>
      </c>
      <c r="B5" s="119"/>
      <c r="C5" s="119"/>
      <c r="D5" s="119"/>
      <c r="E5" s="119"/>
      <c r="F5" s="119"/>
      <c r="G5" s="119"/>
      <c r="H5" s="119"/>
      <c r="I5" s="119"/>
      <c r="J5" s="119"/>
      <c r="K5" s="119"/>
      <c r="L5" s="119"/>
      <c r="M5" s="119"/>
      <c r="N5" s="119"/>
      <c r="O5" s="119"/>
    </row>
    <row r="6" spans="1:15" s="15" customFormat="1" ht="13.5" thickBot="1">
      <c r="E6" s="28"/>
      <c r="F6" s="28"/>
      <c r="G6" s="28"/>
      <c r="H6" s="28"/>
      <c r="I6" s="28"/>
      <c r="J6" s="370" t="s">
        <v>13</v>
      </c>
      <c r="K6" s="370"/>
      <c r="L6" s="370"/>
      <c r="M6" s="370"/>
      <c r="N6" s="406">
        <f>O99</f>
        <v>0</v>
      </c>
      <c r="O6" s="406"/>
    </row>
    <row r="7" spans="1:15" s="28" customFormat="1" ht="12.75" customHeight="1">
      <c r="A7" s="378" t="s">
        <v>27</v>
      </c>
      <c r="B7" s="428" t="s">
        <v>28</v>
      </c>
      <c r="C7" s="428" t="s">
        <v>17</v>
      </c>
      <c r="D7" s="428" t="s">
        <v>19</v>
      </c>
      <c r="E7" s="390" t="s">
        <v>15</v>
      </c>
      <c r="F7" s="391"/>
      <c r="G7" s="391"/>
      <c r="H7" s="391"/>
      <c r="I7" s="391"/>
      <c r="J7" s="429"/>
      <c r="K7" s="390" t="s">
        <v>16</v>
      </c>
      <c r="L7" s="391"/>
      <c r="M7" s="391"/>
      <c r="N7" s="391"/>
      <c r="O7" s="393"/>
    </row>
    <row r="8" spans="1:15" s="28"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5" s="28" customFormat="1" ht="12.75">
      <c r="A9" s="379"/>
      <c r="B9" s="382"/>
      <c r="C9" s="382"/>
      <c r="D9" s="382"/>
      <c r="E9" s="394"/>
      <c r="F9" s="376"/>
      <c r="G9" s="376"/>
      <c r="H9" s="376"/>
      <c r="I9" s="376"/>
      <c r="J9" s="373"/>
      <c r="K9" s="376"/>
      <c r="L9" s="376"/>
      <c r="M9" s="376"/>
      <c r="N9" s="376"/>
      <c r="O9" s="385"/>
    </row>
    <row r="10" spans="1:15" s="28" customFormat="1" ht="12.75">
      <c r="A10" s="379"/>
      <c r="B10" s="382"/>
      <c r="C10" s="382"/>
      <c r="D10" s="382"/>
      <c r="E10" s="394"/>
      <c r="F10" s="376"/>
      <c r="G10" s="376"/>
      <c r="H10" s="376"/>
      <c r="I10" s="376"/>
      <c r="J10" s="373"/>
      <c r="K10" s="376"/>
      <c r="L10" s="376"/>
      <c r="M10" s="376"/>
      <c r="N10" s="376"/>
      <c r="O10" s="385"/>
    </row>
    <row r="11" spans="1:15" s="28" customFormat="1" ht="13.5" thickBot="1">
      <c r="A11" s="380"/>
      <c r="B11" s="383"/>
      <c r="C11" s="383"/>
      <c r="D11" s="383"/>
      <c r="E11" s="395"/>
      <c r="F11" s="377"/>
      <c r="G11" s="377"/>
      <c r="H11" s="377"/>
      <c r="I11" s="377"/>
      <c r="J11" s="374"/>
      <c r="K11" s="377"/>
      <c r="L11" s="377"/>
      <c r="M11" s="377"/>
      <c r="N11" s="377"/>
      <c r="O11" s="386"/>
    </row>
    <row r="12" spans="1:15" s="28" customFormat="1" ht="14.25" thickTop="1" thickBot="1">
      <c r="A12" s="29">
        <v>1</v>
      </c>
      <c r="B12" s="30">
        <v>2</v>
      </c>
      <c r="C12" s="30">
        <v>3</v>
      </c>
      <c r="D12" s="30">
        <v>4</v>
      </c>
      <c r="E12" s="30">
        <v>5</v>
      </c>
      <c r="F12" s="30">
        <v>6</v>
      </c>
      <c r="G12" s="30">
        <v>7</v>
      </c>
      <c r="H12" s="30">
        <v>8</v>
      </c>
      <c r="I12" s="30">
        <v>9</v>
      </c>
      <c r="J12" s="31">
        <v>10</v>
      </c>
      <c r="K12" s="30">
        <v>11</v>
      </c>
      <c r="L12" s="31">
        <v>12</v>
      </c>
      <c r="M12" s="30">
        <v>13</v>
      </c>
      <c r="N12" s="31">
        <v>14</v>
      </c>
      <c r="O12" s="32">
        <v>15</v>
      </c>
    </row>
    <row r="13" spans="1:15" s="113" customFormat="1" ht="24.75" thickTop="1">
      <c r="A13" s="106"/>
      <c r="B13" s="239" t="s">
        <v>483</v>
      </c>
      <c r="C13" s="241"/>
      <c r="D13" s="242"/>
      <c r="E13" s="107"/>
      <c r="F13" s="108"/>
      <c r="G13" s="4"/>
      <c r="H13" s="4"/>
      <c r="I13" s="4"/>
      <c r="J13" s="108"/>
      <c r="K13" s="108"/>
      <c r="L13" s="108"/>
      <c r="M13" s="108"/>
      <c r="N13" s="108"/>
      <c r="O13" s="109"/>
    </row>
    <row r="14" spans="1:15" s="113" customFormat="1" ht="24">
      <c r="A14" s="106"/>
      <c r="B14" s="239" t="s">
        <v>484</v>
      </c>
      <c r="C14" s="241"/>
      <c r="D14" s="242"/>
      <c r="E14" s="107"/>
      <c r="F14" s="108"/>
      <c r="G14" s="4"/>
      <c r="H14" s="4"/>
      <c r="I14" s="4"/>
      <c r="J14" s="108"/>
      <c r="K14" s="108"/>
      <c r="L14" s="108"/>
      <c r="M14" s="108"/>
      <c r="N14" s="108"/>
      <c r="O14" s="109"/>
    </row>
    <row r="15" spans="1:15" s="113" customFormat="1" ht="24">
      <c r="A15" s="106">
        <f t="shared" ref="A15:A77" si="0">A14+1</f>
        <v>1</v>
      </c>
      <c r="B15" s="235" t="s">
        <v>485</v>
      </c>
      <c r="C15" s="241" t="s">
        <v>42</v>
      </c>
      <c r="D15" s="243">
        <v>180</v>
      </c>
      <c r="E15" s="9"/>
      <c r="F15" s="33"/>
      <c r="G15" s="4"/>
      <c r="H15" s="4"/>
      <c r="I15" s="4"/>
      <c r="J15" s="337"/>
      <c r="K15" s="338"/>
      <c r="L15" s="338"/>
      <c r="M15" s="338"/>
      <c r="N15" s="338"/>
      <c r="O15" s="339"/>
    </row>
    <row r="16" spans="1:15" s="113" customFormat="1" ht="36">
      <c r="A16" s="106">
        <f t="shared" si="0"/>
        <v>2</v>
      </c>
      <c r="B16" s="235" t="s">
        <v>486</v>
      </c>
      <c r="C16" s="241" t="s">
        <v>30</v>
      </c>
      <c r="D16" s="244">
        <v>6</v>
      </c>
      <c r="E16" s="9"/>
      <c r="F16" s="33"/>
      <c r="G16" s="4"/>
      <c r="H16" s="4"/>
      <c r="I16" s="4"/>
      <c r="J16" s="337"/>
      <c r="K16" s="338"/>
      <c r="L16" s="338"/>
      <c r="M16" s="338"/>
      <c r="N16" s="338"/>
      <c r="O16" s="339"/>
    </row>
    <row r="17" spans="1:15" s="113" customFormat="1" ht="24">
      <c r="A17" s="106">
        <f t="shared" si="0"/>
        <v>3</v>
      </c>
      <c r="B17" s="235" t="s">
        <v>259</v>
      </c>
      <c r="C17" s="241" t="s">
        <v>30</v>
      </c>
      <c r="D17" s="244">
        <v>1</v>
      </c>
      <c r="E17" s="33"/>
      <c r="F17" s="33"/>
      <c r="G17" s="4"/>
      <c r="H17" s="4"/>
      <c r="I17" s="4"/>
      <c r="J17" s="337"/>
      <c r="K17" s="338"/>
      <c r="L17" s="338"/>
      <c r="M17" s="338"/>
      <c r="N17" s="338"/>
      <c r="O17" s="339"/>
    </row>
    <row r="18" spans="1:15" s="113" customFormat="1" ht="12.75">
      <c r="A18" s="106">
        <f t="shared" si="0"/>
        <v>4</v>
      </c>
      <c r="B18" s="235" t="s">
        <v>487</v>
      </c>
      <c r="C18" s="241" t="s">
        <v>29</v>
      </c>
      <c r="D18" s="244">
        <v>4</v>
      </c>
      <c r="E18" s="33"/>
      <c r="F18" s="33"/>
      <c r="G18" s="4"/>
      <c r="H18" s="4"/>
      <c r="I18" s="4"/>
      <c r="J18" s="337"/>
      <c r="K18" s="338"/>
      <c r="L18" s="338"/>
      <c r="M18" s="338"/>
      <c r="N18" s="338"/>
      <c r="O18" s="339"/>
    </row>
    <row r="19" spans="1:15" s="113" customFormat="1" ht="12.75">
      <c r="A19" s="106">
        <f t="shared" si="0"/>
        <v>5</v>
      </c>
      <c r="B19" s="235" t="s">
        <v>265</v>
      </c>
      <c r="C19" s="241" t="s">
        <v>29</v>
      </c>
      <c r="D19" s="244">
        <v>1</v>
      </c>
      <c r="E19" s="33"/>
      <c r="F19" s="33"/>
      <c r="G19" s="4"/>
      <c r="H19" s="4"/>
      <c r="I19" s="4"/>
      <c r="J19" s="337"/>
      <c r="K19" s="338"/>
      <c r="L19" s="338"/>
      <c r="M19" s="338"/>
      <c r="N19" s="338"/>
      <c r="O19" s="339"/>
    </row>
    <row r="20" spans="1:15" s="113" customFormat="1" ht="12.75">
      <c r="A20" s="106">
        <f t="shared" si="0"/>
        <v>6</v>
      </c>
      <c r="B20" s="235" t="s">
        <v>488</v>
      </c>
      <c r="C20" s="241" t="s">
        <v>30</v>
      </c>
      <c r="D20" s="244">
        <v>1</v>
      </c>
      <c r="E20" s="33"/>
      <c r="F20" s="33"/>
      <c r="G20" s="4"/>
      <c r="H20" s="4"/>
      <c r="I20" s="4"/>
      <c r="J20" s="337"/>
      <c r="K20" s="338"/>
      <c r="L20" s="338"/>
      <c r="M20" s="338"/>
      <c r="N20" s="338"/>
      <c r="O20" s="339"/>
    </row>
    <row r="21" spans="1:15" s="113" customFormat="1" ht="24">
      <c r="A21" s="106">
        <f t="shared" si="0"/>
        <v>7</v>
      </c>
      <c r="B21" s="235" t="s">
        <v>260</v>
      </c>
      <c r="C21" s="241" t="s">
        <v>29</v>
      </c>
      <c r="D21" s="244">
        <v>1</v>
      </c>
      <c r="E21" s="9"/>
      <c r="F21" s="33"/>
      <c r="G21" s="4"/>
      <c r="H21" s="4"/>
      <c r="I21" s="4"/>
      <c r="J21" s="337"/>
      <c r="K21" s="338"/>
      <c r="L21" s="338"/>
      <c r="M21" s="338"/>
      <c r="N21" s="338"/>
      <c r="O21" s="339"/>
    </row>
    <row r="22" spans="1:15" s="113" customFormat="1" ht="12.75">
      <c r="A22" s="106">
        <f t="shared" si="0"/>
        <v>8</v>
      </c>
      <c r="B22" s="235" t="s">
        <v>489</v>
      </c>
      <c r="C22" s="241" t="s">
        <v>29</v>
      </c>
      <c r="D22" s="244">
        <v>1</v>
      </c>
      <c r="E22" s="33"/>
      <c r="F22" s="33"/>
      <c r="G22" s="4"/>
      <c r="H22" s="4"/>
      <c r="I22" s="4"/>
      <c r="J22" s="337"/>
      <c r="K22" s="338"/>
      <c r="L22" s="338"/>
      <c r="M22" s="338"/>
      <c r="N22" s="338"/>
      <c r="O22" s="339"/>
    </row>
    <row r="23" spans="1:15" s="113" customFormat="1" ht="24">
      <c r="A23" s="106">
        <f t="shared" si="0"/>
        <v>9</v>
      </c>
      <c r="B23" s="235" t="s">
        <v>490</v>
      </c>
      <c r="C23" s="241" t="s">
        <v>30</v>
      </c>
      <c r="D23" s="244">
        <v>1</v>
      </c>
      <c r="E23" s="33"/>
      <c r="F23" s="33"/>
      <c r="G23" s="4"/>
      <c r="H23" s="4"/>
      <c r="I23" s="4"/>
      <c r="J23" s="337"/>
      <c r="K23" s="338"/>
      <c r="L23" s="338"/>
      <c r="M23" s="338"/>
      <c r="N23" s="338"/>
      <c r="O23" s="339"/>
    </row>
    <row r="24" spans="1:15" s="113" customFormat="1" ht="24">
      <c r="A24" s="106">
        <f t="shared" si="0"/>
        <v>10</v>
      </c>
      <c r="B24" s="235" t="s">
        <v>261</v>
      </c>
      <c r="C24" s="241" t="s">
        <v>30</v>
      </c>
      <c r="D24" s="244">
        <v>20</v>
      </c>
      <c r="E24" s="9"/>
      <c r="F24" s="33"/>
      <c r="G24" s="4"/>
      <c r="H24" s="4"/>
      <c r="I24" s="4"/>
      <c r="J24" s="337"/>
      <c r="K24" s="338"/>
      <c r="L24" s="338"/>
      <c r="M24" s="338"/>
      <c r="N24" s="338"/>
      <c r="O24" s="339"/>
    </row>
    <row r="25" spans="1:15" s="113" customFormat="1" ht="12.75">
      <c r="A25" s="106">
        <f t="shared" si="0"/>
        <v>11</v>
      </c>
      <c r="B25" s="235" t="s">
        <v>491</v>
      </c>
      <c r="C25" s="241" t="s">
        <v>42</v>
      </c>
      <c r="D25" s="243">
        <v>6</v>
      </c>
      <c r="E25" s="33"/>
      <c r="F25" s="33"/>
      <c r="G25" s="4"/>
      <c r="H25" s="4"/>
      <c r="I25" s="4"/>
      <c r="J25" s="337"/>
      <c r="K25" s="338"/>
      <c r="L25" s="338"/>
      <c r="M25" s="338"/>
      <c r="N25" s="338"/>
      <c r="O25" s="339"/>
    </row>
    <row r="26" spans="1:15" s="113" customFormat="1" ht="12.75">
      <c r="A26" s="106">
        <f t="shared" si="0"/>
        <v>12</v>
      </c>
      <c r="B26" s="235" t="s">
        <v>262</v>
      </c>
      <c r="C26" s="241" t="s">
        <v>42</v>
      </c>
      <c r="D26" s="243">
        <v>170</v>
      </c>
      <c r="E26" s="9"/>
      <c r="F26" s="33"/>
      <c r="G26" s="4"/>
      <c r="H26" s="4"/>
      <c r="I26" s="4"/>
      <c r="J26" s="337"/>
      <c r="K26" s="338"/>
      <c r="L26" s="338"/>
      <c r="M26" s="338"/>
      <c r="N26" s="338"/>
      <c r="O26" s="339"/>
    </row>
    <row r="27" spans="1:15" s="113" customFormat="1" ht="12.75">
      <c r="A27" s="106">
        <f t="shared" si="0"/>
        <v>13</v>
      </c>
      <c r="B27" s="235" t="s">
        <v>492</v>
      </c>
      <c r="C27" s="241" t="s">
        <v>30</v>
      </c>
      <c r="D27" s="244">
        <v>3</v>
      </c>
      <c r="E27" s="9"/>
      <c r="F27" s="33"/>
      <c r="G27" s="4"/>
      <c r="H27" s="4"/>
      <c r="I27" s="4"/>
      <c r="J27" s="337"/>
      <c r="K27" s="338"/>
      <c r="L27" s="338"/>
      <c r="M27" s="338"/>
      <c r="N27" s="338"/>
      <c r="O27" s="339"/>
    </row>
    <row r="28" spans="1:15" s="113" customFormat="1" ht="12.75">
      <c r="A28" s="106"/>
      <c r="B28" s="239" t="s">
        <v>493</v>
      </c>
      <c r="C28" s="241"/>
      <c r="D28" s="242"/>
      <c r="E28" s="107"/>
      <c r="F28" s="108"/>
      <c r="G28" s="4"/>
      <c r="H28" s="4"/>
      <c r="I28" s="4"/>
      <c r="J28" s="108"/>
      <c r="K28" s="108"/>
      <c r="L28" s="108"/>
      <c r="M28" s="108"/>
      <c r="N28" s="108"/>
      <c r="O28" s="109"/>
    </row>
    <row r="29" spans="1:15" s="113" customFormat="1" ht="24">
      <c r="A29" s="106">
        <v>14</v>
      </c>
      <c r="B29" s="235" t="s">
        <v>485</v>
      </c>
      <c r="C29" s="241" t="s">
        <v>42</v>
      </c>
      <c r="D29" s="243">
        <v>315</v>
      </c>
      <c r="E29" s="9"/>
      <c r="F29" s="33"/>
      <c r="G29" s="4"/>
      <c r="H29" s="4"/>
      <c r="I29" s="4"/>
      <c r="J29" s="337"/>
      <c r="K29" s="338"/>
      <c r="L29" s="338"/>
      <c r="M29" s="338"/>
      <c r="N29" s="338"/>
      <c r="O29" s="339"/>
    </row>
    <row r="30" spans="1:15" s="113" customFormat="1" ht="36">
      <c r="A30" s="106">
        <f t="shared" si="0"/>
        <v>15</v>
      </c>
      <c r="B30" s="235" t="s">
        <v>486</v>
      </c>
      <c r="C30" s="241" t="s">
        <v>30</v>
      </c>
      <c r="D30" s="244">
        <v>6</v>
      </c>
      <c r="E30" s="9"/>
      <c r="F30" s="33"/>
      <c r="G30" s="4"/>
      <c r="H30" s="4"/>
      <c r="I30" s="4"/>
      <c r="J30" s="337"/>
      <c r="K30" s="338"/>
      <c r="L30" s="338"/>
      <c r="M30" s="338"/>
      <c r="N30" s="338"/>
      <c r="O30" s="339"/>
    </row>
    <row r="31" spans="1:15" s="113" customFormat="1" ht="24">
      <c r="A31" s="106">
        <f t="shared" si="0"/>
        <v>16</v>
      </c>
      <c r="B31" s="235" t="s">
        <v>259</v>
      </c>
      <c r="C31" s="241" t="s">
        <v>30</v>
      </c>
      <c r="D31" s="244">
        <v>1</v>
      </c>
      <c r="E31" s="33"/>
      <c r="F31" s="33"/>
      <c r="G31" s="4"/>
      <c r="H31" s="4"/>
      <c r="I31" s="4"/>
      <c r="J31" s="337"/>
      <c r="K31" s="338"/>
      <c r="L31" s="338"/>
      <c r="M31" s="338"/>
      <c r="N31" s="338"/>
      <c r="O31" s="339"/>
    </row>
    <row r="32" spans="1:15" s="113" customFormat="1" ht="12.75">
      <c r="A32" s="106">
        <f t="shared" si="0"/>
        <v>17</v>
      </c>
      <c r="B32" s="235" t="s">
        <v>265</v>
      </c>
      <c r="C32" s="241" t="s">
        <v>29</v>
      </c>
      <c r="D32" s="244">
        <v>1</v>
      </c>
      <c r="E32" s="33"/>
      <c r="F32" s="33"/>
      <c r="G32" s="4"/>
      <c r="H32" s="4"/>
      <c r="I32" s="4"/>
      <c r="J32" s="337"/>
      <c r="K32" s="338"/>
      <c r="L32" s="338"/>
      <c r="M32" s="338"/>
      <c r="N32" s="338"/>
      <c r="O32" s="339"/>
    </row>
    <row r="33" spans="1:15" s="113" customFormat="1" ht="12.75">
      <c r="A33" s="106">
        <f t="shared" si="0"/>
        <v>18</v>
      </c>
      <c r="B33" s="235" t="s">
        <v>487</v>
      </c>
      <c r="C33" s="241" t="s">
        <v>29</v>
      </c>
      <c r="D33" s="244">
        <v>7</v>
      </c>
      <c r="E33" s="33"/>
      <c r="F33" s="33"/>
      <c r="G33" s="4"/>
      <c r="H33" s="4"/>
      <c r="I33" s="4"/>
      <c r="J33" s="337"/>
      <c r="K33" s="338"/>
      <c r="L33" s="338"/>
      <c r="M33" s="338"/>
      <c r="N33" s="338"/>
      <c r="O33" s="339"/>
    </row>
    <row r="34" spans="1:15" s="113" customFormat="1" ht="12.75">
      <c r="A34" s="106">
        <f t="shared" si="0"/>
        <v>19</v>
      </c>
      <c r="B34" s="235" t="s">
        <v>488</v>
      </c>
      <c r="C34" s="241" t="s">
        <v>30</v>
      </c>
      <c r="D34" s="244">
        <v>1</v>
      </c>
      <c r="E34" s="33"/>
      <c r="F34" s="33"/>
      <c r="G34" s="4"/>
      <c r="H34" s="4"/>
      <c r="I34" s="4"/>
      <c r="J34" s="337"/>
      <c r="K34" s="338"/>
      <c r="L34" s="338"/>
      <c r="M34" s="338"/>
      <c r="N34" s="338"/>
      <c r="O34" s="339"/>
    </row>
    <row r="35" spans="1:15" s="113" customFormat="1" ht="24">
      <c r="A35" s="106">
        <f t="shared" si="0"/>
        <v>20</v>
      </c>
      <c r="B35" s="235" t="s">
        <v>260</v>
      </c>
      <c r="C35" s="241" t="s">
        <v>29</v>
      </c>
      <c r="D35" s="244">
        <v>1</v>
      </c>
      <c r="E35" s="9"/>
      <c r="F35" s="33"/>
      <c r="G35" s="4"/>
      <c r="H35" s="4"/>
      <c r="I35" s="4"/>
      <c r="J35" s="337"/>
      <c r="K35" s="338"/>
      <c r="L35" s="338"/>
      <c r="M35" s="338"/>
      <c r="N35" s="338"/>
      <c r="O35" s="339"/>
    </row>
    <row r="36" spans="1:15" s="113" customFormat="1" ht="12.75">
      <c r="A36" s="106">
        <f t="shared" si="0"/>
        <v>21</v>
      </c>
      <c r="B36" s="235" t="s">
        <v>489</v>
      </c>
      <c r="C36" s="241" t="s">
        <v>29</v>
      </c>
      <c r="D36" s="244">
        <v>1</v>
      </c>
      <c r="E36" s="33"/>
      <c r="F36" s="33"/>
      <c r="G36" s="4"/>
      <c r="H36" s="4"/>
      <c r="I36" s="4"/>
      <c r="J36" s="337"/>
      <c r="K36" s="338"/>
      <c r="L36" s="338"/>
      <c r="M36" s="338"/>
      <c r="N36" s="338"/>
      <c r="O36" s="339"/>
    </row>
    <row r="37" spans="1:15" s="113" customFormat="1" ht="24">
      <c r="A37" s="106">
        <f t="shared" si="0"/>
        <v>22</v>
      </c>
      <c r="B37" s="235" t="s">
        <v>490</v>
      </c>
      <c r="C37" s="241" t="s">
        <v>30</v>
      </c>
      <c r="D37" s="244">
        <v>1</v>
      </c>
      <c r="E37" s="33"/>
      <c r="F37" s="33"/>
      <c r="G37" s="4"/>
      <c r="H37" s="4"/>
      <c r="I37" s="4"/>
      <c r="J37" s="337"/>
      <c r="K37" s="338"/>
      <c r="L37" s="338"/>
      <c r="M37" s="338"/>
      <c r="N37" s="338"/>
      <c r="O37" s="339"/>
    </row>
    <row r="38" spans="1:15" s="113" customFormat="1" ht="24">
      <c r="A38" s="106">
        <f t="shared" si="0"/>
        <v>23</v>
      </c>
      <c r="B38" s="235" t="s">
        <v>261</v>
      </c>
      <c r="C38" s="241" t="s">
        <v>30</v>
      </c>
      <c r="D38" s="244">
        <v>65</v>
      </c>
      <c r="E38" s="9"/>
      <c r="F38" s="33"/>
      <c r="G38" s="4"/>
      <c r="H38" s="4"/>
      <c r="I38" s="4"/>
      <c r="J38" s="337"/>
      <c r="K38" s="338"/>
      <c r="L38" s="338"/>
      <c r="M38" s="338"/>
      <c r="N38" s="338"/>
      <c r="O38" s="339"/>
    </row>
    <row r="39" spans="1:15" s="113" customFormat="1" ht="12.75">
      <c r="A39" s="106">
        <f t="shared" si="0"/>
        <v>24</v>
      </c>
      <c r="B39" s="235" t="s">
        <v>491</v>
      </c>
      <c r="C39" s="241" t="s">
        <v>42</v>
      </c>
      <c r="D39" s="243">
        <v>6</v>
      </c>
      <c r="E39" s="33"/>
      <c r="F39" s="33"/>
      <c r="G39" s="4"/>
      <c r="H39" s="4"/>
      <c r="I39" s="4"/>
      <c r="J39" s="337"/>
      <c r="K39" s="338"/>
      <c r="L39" s="338"/>
      <c r="M39" s="338"/>
      <c r="N39" s="338"/>
      <c r="O39" s="339"/>
    </row>
    <row r="40" spans="1:15" s="113" customFormat="1" ht="12.75">
      <c r="A40" s="106">
        <f t="shared" si="0"/>
        <v>25</v>
      </c>
      <c r="B40" s="235" t="s">
        <v>494</v>
      </c>
      <c r="C40" s="241" t="s">
        <v>30</v>
      </c>
      <c r="D40" s="244">
        <v>1</v>
      </c>
      <c r="E40" s="33"/>
      <c r="F40" s="33"/>
      <c r="G40" s="4"/>
      <c r="H40" s="4"/>
      <c r="I40" s="4"/>
      <c r="J40" s="337"/>
      <c r="K40" s="338"/>
      <c r="L40" s="338"/>
      <c r="M40" s="338"/>
      <c r="N40" s="338"/>
      <c r="O40" s="339"/>
    </row>
    <row r="41" spans="1:15" s="113" customFormat="1" ht="12.75">
      <c r="A41" s="106">
        <f t="shared" si="0"/>
        <v>26</v>
      </c>
      <c r="B41" s="235" t="s">
        <v>262</v>
      </c>
      <c r="C41" s="241" t="s">
        <v>42</v>
      </c>
      <c r="D41" s="243">
        <v>315</v>
      </c>
      <c r="E41" s="9"/>
      <c r="F41" s="33"/>
      <c r="G41" s="4"/>
      <c r="H41" s="4"/>
      <c r="I41" s="4"/>
      <c r="J41" s="337"/>
      <c r="K41" s="338"/>
      <c r="L41" s="338"/>
      <c r="M41" s="338"/>
      <c r="N41" s="338"/>
      <c r="O41" s="339"/>
    </row>
    <row r="42" spans="1:15" s="113" customFormat="1" ht="12.75">
      <c r="A42" s="106"/>
      <c r="B42" s="239" t="s">
        <v>263</v>
      </c>
      <c r="C42" s="241"/>
      <c r="D42" s="242"/>
      <c r="E42" s="107"/>
      <c r="F42" s="108"/>
      <c r="G42" s="4"/>
      <c r="H42" s="4"/>
      <c r="I42" s="4"/>
      <c r="J42" s="108"/>
      <c r="K42" s="108"/>
      <c r="L42" s="108"/>
      <c r="M42" s="108"/>
      <c r="N42" s="108"/>
      <c r="O42" s="109"/>
    </row>
    <row r="43" spans="1:15" s="113" customFormat="1" ht="24">
      <c r="A43" s="106"/>
      <c r="B43" s="239" t="s">
        <v>484</v>
      </c>
      <c r="C43" s="241"/>
      <c r="D43" s="242"/>
      <c r="E43" s="107"/>
      <c r="F43" s="108"/>
      <c r="G43" s="4"/>
      <c r="H43" s="4"/>
      <c r="I43" s="4"/>
      <c r="J43" s="108"/>
      <c r="K43" s="108"/>
      <c r="L43" s="108"/>
      <c r="M43" s="108"/>
      <c r="N43" s="108"/>
      <c r="O43" s="109"/>
    </row>
    <row r="44" spans="1:15" s="113" customFormat="1" ht="24">
      <c r="A44" s="106">
        <v>27</v>
      </c>
      <c r="B44" s="235" t="s">
        <v>495</v>
      </c>
      <c r="C44" s="241" t="s">
        <v>42</v>
      </c>
      <c r="D44" s="243">
        <v>32</v>
      </c>
      <c r="E44" s="9"/>
      <c r="F44" s="33"/>
      <c r="G44" s="4"/>
      <c r="H44" s="4"/>
      <c r="I44" s="4"/>
      <c r="J44" s="337"/>
      <c r="K44" s="338"/>
      <c r="L44" s="338"/>
      <c r="M44" s="338"/>
      <c r="N44" s="338"/>
      <c r="O44" s="339"/>
    </row>
    <row r="45" spans="1:15" s="113" customFormat="1" ht="24">
      <c r="A45" s="106">
        <f t="shared" si="0"/>
        <v>28</v>
      </c>
      <c r="B45" s="235" t="s">
        <v>496</v>
      </c>
      <c r="C45" s="241" t="s">
        <v>42</v>
      </c>
      <c r="D45" s="243">
        <v>52</v>
      </c>
      <c r="E45" s="9"/>
      <c r="F45" s="33"/>
      <c r="G45" s="4"/>
      <c r="H45" s="4"/>
      <c r="I45" s="4"/>
      <c r="J45" s="337"/>
      <c r="K45" s="338"/>
      <c r="L45" s="338"/>
      <c r="M45" s="338"/>
      <c r="N45" s="338"/>
      <c r="O45" s="339"/>
    </row>
    <row r="46" spans="1:15" s="113" customFormat="1" ht="12.75">
      <c r="A46" s="106">
        <f t="shared" si="0"/>
        <v>29</v>
      </c>
      <c r="B46" s="235" t="s">
        <v>497</v>
      </c>
      <c r="C46" s="241" t="s">
        <v>29</v>
      </c>
      <c r="D46" s="244">
        <v>2</v>
      </c>
      <c r="E46" s="9"/>
      <c r="F46" s="33"/>
      <c r="G46" s="4"/>
      <c r="H46" s="4"/>
      <c r="I46" s="4"/>
      <c r="J46" s="337"/>
      <c r="K46" s="338"/>
      <c r="L46" s="338"/>
      <c r="M46" s="338"/>
      <c r="N46" s="338"/>
      <c r="O46" s="339"/>
    </row>
    <row r="47" spans="1:15" s="113" customFormat="1" ht="12.75">
      <c r="A47" s="106">
        <f t="shared" si="0"/>
        <v>30</v>
      </c>
      <c r="B47" s="235" t="s">
        <v>498</v>
      </c>
      <c r="C47" s="241" t="s">
        <v>29</v>
      </c>
      <c r="D47" s="244">
        <v>4</v>
      </c>
      <c r="E47" s="9"/>
      <c r="F47" s="33"/>
      <c r="G47" s="4"/>
      <c r="H47" s="4"/>
      <c r="I47" s="4"/>
      <c r="J47" s="337"/>
      <c r="K47" s="338"/>
      <c r="L47" s="338"/>
      <c r="M47" s="338"/>
      <c r="N47" s="338"/>
      <c r="O47" s="339"/>
    </row>
    <row r="48" spans="1:15" s="113" customFormat="1" ht="24">
      <c r="A48" s="106">
        <f t="shared" si="0"/>
        <v>31</v>
      </c>
      <c r="B48" s="235" t="s">
        <v>499</v>
      </c>
      <c r="C48" s="241" t="s">
        <v>29</v>
      </c>
      <c r="D48" s="244">
        <v>5</v>
      </c>
      <c r="E48" s="9"/>
      <c r="F48" s="33"/>
      <c r="G48" s="4"/>
      <c r="H48" s="4"/>
      <c r="I48" s="4"/>
      <c r="J48" s="337"/>
      <c r="K48" s="338"/>
      <c r="L48" s="338"/>
      <c r="M48" s="338"/>
      <c r="N48" s="338"/>
      <c r="O48" s="339"/>
    </row>
    <row r="49" spans="1:15" s="113" customFormat="1" ht="24">
      <c r="A49" s="106">
        <f t="shared" si="0"/>
        <v>32</v>
      </c>
      <c r="B49" s="235" t="s">
        <v>500</v>
      </c>
      <c r="C49" s="241" t="s">
        <v>29</v>
      </c>
      <c r="D49" s="244">
        <v>1</v>
      </c>
      <c r="E49" s="9"/>
      <c r="F49" s="33"/>
      <c r="G49" s="4"/>
      <c r="H49" s="4"/>
      <c r="I49" s="4"/>
      <c r="J49" s="337"/>
      <c r="K49" s="338"/>
      <c r="L49" s="338"/>
      <c r="M49" s="338"/>
      <c r="N49" s="338"/>
      <c r="O49" s="339"/>
    </row>
    <row r="50" spans="1:15" s="113" customFormat="1" ht="12.75">
      <c r="A50" s="106">
        <f t="shared" si="0"/>
        <v>33</v>
      </c>
      <c r="B50" s="235" t="s">
        <v>501</v>
      </c>
      <c r="C50" s="241" t="s">
        <v>30</v>
      </c>
      <c r="D50" s="244">
        <v>4</v>
      </c>
      <c r="E50" s="9"/>
      <c r="F50" s="33"/>
      <c r="G50" s="4"/>
      <c r="H50" s="4"/>
      <c r="I50" s="4"/>
      <c r="J50" s="337"/>
      <c r="K50" s="338"/>
      <c r="L50" s="338"/>
      <c r="M50" s="338"/>
      <c r="N50" s="338"/>
      <c r="O50" s="339"/>
    </row>
    <row r="51" spans="1:15" s="113" customFormat="1" ht="24">
      <c r="A51" s="106">
        <f t="shared" si="0"/>
        <v>34</v>
      </c>
      <c r="B51" s="235" t="s">
        <v>502</v>
      </c>
      <c r="C51" s="241" t="s">
        <v>30</v>
      </c>
      <c r="D51" s="244">
        <v>7</v>
      </c>
      <c r="E51" s="9"/>
      <c r="F51" s="33"/>
      <c r="G51" s="4"/>
      <c r="H51" s="4"/>
      <c r="I51" s="4"/>
      <c r="J51" s="337"/>
      <c r="K51" s="338"/>
      <c r="L51" s="338"/>
      <c r="M51" s="338"/>
      <c r="N51" s="338"/>
      <c r="O51" s="339"/>
    </row>
    <row r="52" spans="1:15" s="113" customFormat="1" ht="24">
      <c r="A52" s="106">
        <f t="shared" si="0"/>
        <v>35</v>
      </c>
      <c r="B52" s="235" t="s">
        <v>1165</v>
      </c>
      <c r="C52" s="241" t="s">
        <v>30</v>
      </c>
      <c r="D52" s="244">
        <v>2</v>
      </c>
      <c r="E52" s="9"/>
      <c r="F52" s="33"/>
      <c r="G52" s="4"/>
      <c r="H52" s="4"/>
      <c r="I52" s="4"/>
      <c r="J52" s="337"/>
      <c r="K52" s="338"/>
      <c r="L52" s="338"/>
      <c r="M52" s="338"/>
      <c r="N52" s="338"/>
      <c r="O52" s="339"/>
    </row>
    <row r="53" spans="1:15" s="113" customFormat="1" ht="24">
      <c r="A53" s="106">
        <f t="shared" si="0"/>
        <v>36</v>
      </c>
      <c r="B53" s="235" t="s">
        <v>302</v>
      </c>
      <c r="C53" s="241" t="s">
        <v>30</v>
      </c>
      <c r="D53" s="244">
        <v>4</v>
      </c>
      <c r="E53" s="9"/>
      <c r="F53" s="33"/>
      <c r="G53" s="4"/>
      <c r="H53" s="4"/>
      <c r="I53" s="4"/>
      <c r="J53" s="337"/>
      <c r="K53" s="338"/>
      <c r="L53" s="338"/>
      <c r="M53" s="338"/>
      <c r="N53" s="338"/>
      <c r="O53" s="339"/>
    </row>
    <row r="54" spans="1:15" s="113" customFormat="1" ht="36">
      <c r="A54" s="106">
        <f t="shared" si="0"/>
        <v>37</v>
      </c>
      <c r="B54" s="235" t="s">
        <v>1166</v>
      </c>
      <c r="C54" s="241" t="s">
        <v>30</v>
      </c>
      <c r="D54" s="244">
        <v>1</v>
      </c>
      <c r="E54" s="4"/>
      <c r="F54" s="33"/>
      <c r="G54" s="4"/>
      <c r="H54" s="4"/>
      <c r="I54" s="4"/>
      <c r="J54" s="337"/>
      <c r="K54" s="338"/>
      <c r="L54" s="338"/>
      <c r="M54" s="338"/>
      <c r="N54" s="338"/>
      <c r="O54" s="339"/>
    </row>
    <row r="55" spans="1:15" s="113" customFormat="1" ht="12.75">
      <c r="A55" s="106">
        <f t="shared" si="0"/>
        <v>38</v>
      </c>
      <c r="B55" s="235" t="s">
        <v>503</v>
      </c>
      <c r="C55" s="241" t="s">
        <v>30</v>
      </c>
      <c r="D55" s="244">
        <v>1</v>
      </c>
      <c r="E55" s="9"/>
      <c r="F55" s="33"/>
      <c r="G55" s="4"/>
      <c r="H55" s="4"/>
      <c r="I55" s="4"/>
      <c r="J55" s="337"/>
      <c r="K55" s="338"/>
      <c r="L55" s="338"/>
      <c r="M55" s="338"/>
      <c r="N55" s="338"/>
      <c r="O55" s="339"/>
    </row>
    <row r="56" spans="1:15" s="113" customFormat="1" ht="12.75">
      <c r="A56" s="106"/>
      <c r="B56" s="239" t="s">
        <v>1177</v>
      </c>
      <c r="C56" s="241"/>
      <c r="D56" s="242"/>
      <c r="E56" s="107"/>
      <c r="F56" s="108"/>
      <c r="G56" s="4"/>
      <c r="H56" s="4"/>
      <c r="I56" s="4"/>
      <c r="J56" s="108"/>
      <c r="K56" s="108"/>
      <c r="L56" s="108"/>
      <c r="M56" s="108"/>
      <c r="N56" s="108"/>
      <c r="O56" s="109"/>
    </row>
    <row r="57" spans="1:15" s="113" customFormat="1" ht="24">
      <c r="A57" s="106"/>
      <c r="B57" s="239" t="s">
        <v>484</v>
      </c>
      <c r="C57" s="241"/>
      <c r="D57" s="242"/>
      <c r="E57" s="107"/>
      <c r="F57" s="108"/>
      <c r="G57" s="4"/>
      <c r="H57" s="4"/>
      <c r="I57" s="4"/>
      <c r="J57" s="108"/>
      <c r="K57" s="108"/>
      <c r="L57" s="108"/>
      <c r="M57" s="108"/>
      <c r="N57" s="108"/>
      <c r="O57" s="109"/>
    </row>
    <row r="58" spans="1:15" s="113" customFormat="1" ht="36">
      <c r="A58" s="106">
        <v>39</v>
      </c>
      <c r="B58" s="235" t="s">
        <v>1176</v>
      </c>
      <c r="C58" s="241" t="s">
        <v>30</v>
      </c>
      <c r="D58" s="244">
        <v>1</v>
      </c>
      <c r="E58" s="9"/>
      <c r="F58" s="33"/>
      <c r="G58" s="4"/>
      <c r="H58" s="4"/>
      <c r="I58" s="4"/>
      <c r="J58" s="337"/>
      <c r="K58" s="338"/>
      <c r="L58" s="338"/>
      <c r="M58" s="338"/>
      <c r="N58" s="338"/>
      <c r="O58" s="339"/>
    </row>
    <row r="59" spans="1:15" s="113" customFormat="1" ht="24">
      <c r="A59" s="106">
        <f t="shared" si="0"/>
        <v>40</v>
      </c>
      <c r="B59" s="235" t="s">
        <v>1175</v>
      </c>
      <c r="C59" s="241" t="s">
        <v>42</v>
      </c>
      <c r="D59" s="243">
        <v>20</v>
      </c>
      <c r="E59" s="9"/>
      <c r="F59" s="33"/>
      <c r="G59" s="4"/>
      <c r="H59" s="4"/>
      <c r="I59" s="4"/>
      <c r="J59" s="337"/>
      <c r="K59" s="338"/>
      <c r="L59" s="338"/>
      <c r="M59" s="338"/>
      <c r="N59" s="338"/>
      <c r="O59" s="339"/>
    </row>
    <row r="60" spans="1:15" s="113" customFormat="1" ht="12.75">
      <c r="A60" s="106">
        <f t="shared" si="0"/>
        <v>41</v>
      </c>
      <c r="B60" s="235" t="s">
        <v>1174</v>
      </c>
      <c r="C60" s="241" t="s">
        <v>30</v>
      </c>
      <c r="D60" s="244">
        <v>15</v>
      </c>
      <c r="E60" s="33"/>
      <c r="F60" s="33"/>
      <c r="G60" s="4"/>
      <c r="H60" s="4"/>
      <c r="I60" s="4"/>
      <c r="J60" s="337"/>
      <c r="K60" s="338"/>
      <c r="L60" s="338"/>
      <c r="M60" s="338"/>
      <c r="N60" s="338"/>
      <c r="O60" s="339"/>
    </row>
    <row r="61" spans="1:15" s="113" customFormat="1" ht="12.75">
      <c r="A61" s="106">
        <f t="shared" si="0"/>
        <v>42</v>
      </c>
      <c r="B61" s="235" t="s">
        <v>1173</v>
      </c>
      <c r="C61" s="241" t="s">
        <v>30</v>
      </c>
      <c r="D61" s="244">
        <v>1</v>
      </c>
      <c r="E61" s="9"/>
      <c r="F61" s="33"/>
      <c r="G61" s="4"/>
      <c r="H61" s="4"/>
      <c r="I61" s="4"/>
      <c r="J61" s="337"/>
      <c r="K61" s="338"/>
      <c r="L61" s="338"/>
      <c r="M61" s="338"/>
      <c r="N61" s="338"/>
      <c r="O61" s="339"/>
    </row>
    <row r="62" spans="1:15" s="113" customFormat="1" ht="12.75">
      <c r="A62" s="106">
        <f t="shared" si="0"/>
        <v>43</v>
      </c>
      <c r="B62" s="235" t="s">
        <v>488</v>
      </c>
      <c r="C62" s="241" t="s">
        <v>29</v>
      </c>
      <c r="D62" s="244">
        <v>1</v>
      </c>
      <c r="E62" s="33"/>
      <c r="F62" s="33"/>
      <c r="G62" s="4"/>
      <c r="H62" s="4"/>
      <c r="I62" s="4"/>
      <c r="J62" s="337"/>
      <c r="K62" s="338"/>
      <c r="L62" s="338"/>
      <c r="M62" s="338"/>
      <c r="N62" s="338"/>
      <c r="O62" s="339"/>
    </row>
    <row r="63" spans="1:15" s="113" customFormat="1" ht="13.5">
      <c r="A63" s="106">
        <f t="shared" si="0"/>
        <v>44</v>
      </c>
      <c r="B63" s="235" t="s">
        <v>1172</v>
      </c>
      <c r="C63" s="241" t="s">
        <v>30</v>
      </c>
      <c r="D63" s="244">
        <v>1</v>
      </c>
      <c r="E63" s="33"/>
      <c r="F63" s="33"/>
      <c r="G63" s="4"/>
      <c r="H63" s="4"/>
      <c r="I63" s="4"/>
      <c r="J63" s="337"/>
      <c r="K63" s="338"/>
      <c r="L63" s="338"/>
      <c r="M63" s="338"/>
      <c r="N63" s="338"/>
      <c r="O63" s="339"/>
    </row>
    <row r="64" spans="1:15" s="113" customFormat="1" ht="12.75">
      <c r="A64" s="106">
        <f t="shared" si="0"/>
        <v>45</v>
      </c>
      <c r="B64" s="235" t="s">
        <v>508</v>
      </c>
      <c r="C64" s="241" t="s">
        <v>29</v>
      </c>
      <c r="D64" s="244">
        <v>2</v>
      </c>
      <c r="E64" s="33"/>
      <c r="F64" s="33"/>
      <c r="G64" s="4"/>
      <c r="H64" s="4"/>
      <c r="I64" s="4"/>
      <c r="J64" s="337"/>
      <c r="K64" s="338"/>
      <c r="L64" s="338"/>
      <c r="M64" s="338"/>
      <c r="N64" s="338"/>
      <c r="O64" s="339"/>
    </row>
    <row r="65" spans="1:15" s="113" customFormat="1" ht="12.75">
      <c r="A65" s="106">
        <f t="shared" si="0"/>
        <v>46</v>
      </c>
      <c r="B65" s="235" t="s">
        <v>1171</v>
      </c>
      <c r="C65" s="241" t="s">
        <v>29</v>
      </c>
      <c r="D65" s="244">
        <v>1</v>
      </c>
      <c r="E65" s="9"/>
      <c r="F65" s="33"/>
      <c r="G65" s="4"/>
      <c r="H65" s="4"/>
      <c r="I65" s="4"/>
      <c r="J65" s="337"/>
      <c r="K65" s="338"/>
      <c r="L65" s="338"/>
      <c r="M65" s="338"/>
      <c r="N65" s="338"/>
      <c r="O65" s="339"/>
    </row>
    <row r="66" spans="1:15" s="113" customFormat="1" ht="12.75">
      <c r="A66" s="106">
        <f t="shared" si="0"/>
        <v>47</v>
      </c>
      <c r="B66" s="235" t="s">
        <v>1170</v>
      </c>
      <c r="C66" s="241"/>
      <c r="D66" s="244"/>
      <c r="E66" s="9"/>
      <c r="F66" s="33"/>
      <c r="G66" s="4"/>
      <c r="H66" s="4"/>
      <c r="I66" s="4"/>
      <c r="J66" s="337"/>
      <c r="K66" s="338"/>
      <c r="L66" s="338"/>
      <c r="M66" s="338"/>
      <c r="N66" s="338"/>
      <c r="O66" s="339"/>
    </row>
    <row r="67" spans="1:15" s="113" customFormat="1" ht="12.75">
      <c r="A67" s="106">
        <f t="shared" si="0"/>
        <v>48</v>
      </c>
      <c r="B67" s="235" t="s">
        <v>1169</v>
      </c>
      <c r="C67" s="241" t="s">
        <v>29</v>
      </c>
      <c r="D67" s="244">
        <v>2</v>
      </c>
      <c r="E67" s="9"/>
      <c r="F67" s="33"/>
      <c r="G67" s="4"/>
      <c r="H67" s="4"/>
      <c r="I67" s="4"/>
      <c r="J67" s="337"/>
      <c r="K67" s="338"/>
      <c r="L67" s="338"/>
      <c r="M67" s="338"/>
      <c r="N67" s="338"/>
      <c r="O67" s="339"/>
    </row>
    <row r="68" spans="1:15" s="113" customFormat="1" ht="12.75">
      <c r="A68" s="106">
        <f t="shared" si="0"/>
        <v>49</v>
      </c>
      <c r="B68" s="235" t="s">
        <v>515</v>
      </c>
      <c r="C68" s="241" t="s">
        <v>29</v>
      </c>
      <c r="D68" s="244">
        <v>2</v>
      </c>
      <c r="E68" s="33"/>
      <c r="F68" s="33"/>
      <c r="G68" s="4"/>
      <c r="H68" s="4"/>
      <c r="I68" s="129"/>
      <c r="J68" s="337"/>
      <c r="K68" s="338"/>
      <c r="L68" s="338"/>
      <c r="M68" s="338"/>
      <c r="N68" s="338"/>
      <c r="O68" s="339"/>
    </row>
    <row r="69" spans="1:15" s="113" customFormat="1" ht="12.75">
      <c r="A69" s="106">
        <f t="shared" si="0"/>
        <v>50</v>
      </c>
      <c r="B69" s="235" t="s">
        <v>1168</v>
      </c>
      <c r="C69" s="241" t="s">
        <v>29</v>
      </c>
      <c r="D69" s="244">
        <v>1</v>
      </c>
      <c r="E69" s="33"/>
      <c r="F69" s="33"/>
      <c r="G69" s="4"/>
      <c r="H69" s="4"/>
      <c r="I69" s="129"/>
      <c r="J69" s="337"/>
      <c r="K69" s="338"/>
      <c r="L69" s="338"/>
      <c r="M69" s="338"/>
      <c r="N69" s="338"/>
      <c r="O69" s="339"/>
    </row>
    <row r="70" spans="1:15" s="113" customFormat="1" ht="12.75">
      <c r="A70" s="106">
        <f t="shared" si="0"/>
        <v>51</v>
      </c>
      <c r="B70" s="235" t="s">
        <v>1167</v>
      </c>
      <c r="C70" s="241" t="s">
        <v>29</v>
      </c>
      <c r="D70" s="244">
        <v>1</v>
      </c>
      <c r="E70" s="33"/>
      <c r="F70" s="33"/>
      <c r="G70" s="4"/>
      <c r="H70" s="4"/>
      <c r="I70" s="129"/>
      <c r="J70" s="337"/>
      <c r="K70" s="338"/>
      <c r="L70" s="338"/>
      <c r="M70" s="338"/>
      <c r="N70" s="338"/>
      <c r="O70" s="339"/>
    </row>
    <row r="71" spans="1:15" s="113" customFormat="1" ht="12.75">
      <c r="A71" s="106">
        <f t="shared" si="0"/>
        <v>52</v>
      </c>
      <c r="B71" s="235" t="s">
        <v>488</v>
      </c>
      <c r="C71" s="241" t="s">
        <v>29</v>
      </c>
      <c r="D71" s="244">
        <v>1</v>
      </c>
      <c r="E71" s="33"/>
      <c r="F71" s="33"/>
      <c r="G71" s="4"/>
      <c r="H71" s="4"/>
      <c r="I71" s="4"/>
      <c r="J71" s="337"/>
      <c r="K71" s="338"/>
      <c r="L71" s="338"/>
      <c r="M71" s="338"/>
      <c r="N71" s="338"/>
      <c r="O71" s="339"/>
    </row>
    <row r="72" spans="1:15" s="113" customFormat="1" ht="12.75">
      <c r="A72" s="106"/>
      <c r="B72" s="239" t="s">
        <v>264</v>
      </c>
      <c r="C72" s="241"/>
      <c r="D72" s="242"/>
      <c r="E72" s="107"/>
      <c r="F72" s="108"/>
      <c r="G72" s="4"/>
      <c r="H72" s="4"/>
      <c r="I72" s="4"/>
      <c r="J72" s="108"/>
      <c r="K72" s="108"/>
      <c r="L72" s="108"/>
      <c r="M72" s="108"/>
      <c r="N72" s="108"/>
      <c r="O72" s="109"/>
    </row>
    <row r="73" spans="1:15" s="113" customFormat="1" ht="24">
      <c r="A73" s="106"/>
      <c r="B73" s="239" t="s">
        <v>484</v>
      </c>
      <c r="C73" s="241"/>
      <c r="D73" s="242"/>
      <c r="E73" s="107"/>
      <c r="F73" s="108"/>
      <c r="G73" s="4"/>
      <c r="H73" s="4"/>
      <c r="I73" s="4"/>
      <c r="J73" s="108"/>
      <c r="K73" s="108"/>
      <c r="L73" s="108"/>
      <c r="M73" s="108"/>
      <c r="N73" s="108"/>
      <c r="O73" s="109"/>
    </row>
    <row r="74" spans="1:15" s="113" customFormat="1" ht="48">
      <c r="A74" s="106">
        <v>53</v>
      </c>
      <c r="B74" s="235" t="s">
        <v>504</v>
      </c>
      <c r="C74" s="241" t="s">
        <v>42</v>
      </c>
      <c r="D74" s="243">
        <v>3</v>
      </c>
      <c r="E74" s="9"/>
      <c r="F74" s="33"/>
      <c r="G74" s="4"/>
      <c r="H74" s="4"/>
      <c r="I74" s="4"/>
      <c r="J74" s="337"/>
      <c r="K74" s="338"/>
      <c r="L74" s="338"/>
      <c r="M74" s="338"/>
      <c r="N74" s="338"/>
      <c r="O74" s="339"/>
    </row>
    <row r="75" spans="1:15" s="113" customFormat="1" ht="48">
      <c r="A75" s="106">
        <f t="shared" si="0"/>
        <v>54</v>
      </c>
      <c r="B75" s="235" t="s">
        <v>505</v>
      </c>
      <c r="C75" s="241" t="s">
        <v>42</v>
      </c>
      <c r="D75" s="243">
        <v>24</v>
      </c>
      <c r="E75" s="9"/>
      <c r="F75" s="33"/>
      <c r="G75" s="4"/>
      <c r="H75" s="4"/>
      <c r="I75" s="4"/>
      <c r="J75" s="337"/>
      <c r="K75" s="338"/>
      <c r="L75" s="338"/>
      <c r="M75" s="338"/>
      <c r="N75" s="338"/>
      <c r="O75" s="339"/>
    </row>
    <row r="76" spans="1:15" s="113" customFormat="1" ht="48">
      <c r="A76" s="106">
        <f t="shared" si="0"/>
        <v>55</v>
      </c>
      <c r="B76" s="235" t="s">
        <v>506</v>
      </c>
      <c r="C76" s="241" t="s">
        <v>42</v>
      </c>
      <c r="D76" s="243">
        <v>20</v>
      </c>
      <c r="E76" s="9"/>
      <c r="F76" s="33"/>
      <c r="G76" s="4"/>
      <c r="H76" s="4"/>
      <c r="I76" s="4"/>
      <c r="J76" s="337"/>
      <c r="K76" s="338"/>
      <c r="L76" s="338"/>
      <c r="M76" s="338"/>
      <c r="N76" s="338"/>
      <c r="O76" s="339"/>
    </row>
    <row r="77" spans="1:15" s="113" customFormat="1" ht="48">
      <c r="A77" s="106">
        <f t="shared" si="0"/>
        <v>56</v>
      </c>
      <c r="B77" s="235" t="s">
        <v>507</v>
      </c>
      <c r="C77" s="241" t="s">
        <v>42</v>
      </c>
      <c r="D77" s="243">
        <v>39</v>
      </c>
      <c r="E77" s="9"/>
      <c r="F77" s="33"/>
      <c r="G77" s="4"/>
      <c r="H77" s="4"/>
      <c r="I77" s="4"/>
      <c r="J77" s="337"/>
      <c r="K77" s="338"/>
      <c r="L77" s="338"/>
      <c r="M77" s="338"/>
      <c r="N77" s="338"/>
      <c r="O77" s="339"/>
    </row>
    <row r="78" spans="1:15" s="113" customFormat="1" ht="12.75">
      <c r="A78" s="106">
        <f t="shared" ref="A78:A96" si="1">A77+1</f>
        <v>57</v>
      </c>
      <c r="B78" s="235" t="s">
        <v>508</v>
      </c>
      <c r="C78" s="241" t="s">
        <v>29</v>
      </c>
      <c r="D78" s="244">
        <v>1</v>
      </c>
      <c r="E78" s="33"/>
      <c r="F78" s="33"/>
      <c r="G78" s="4"/>
      <c r="H78" s="4"/>
      <c r="I78" s="4"/>
      <c r="J78" s="337"/>
      <c r="K78" s="338"/>
      <c r="L78" s="338"/>
      <c r="M78" s="338"/>
      <c r="N78" s="338"/>
      <c r="O78" s="339"/>
    </row>
    <row r="79" spans="1:15" s="113" customFormat="1" ht="12.75">
      <c r="A79" s="106">
        <f t="shared" si="1"/>
        <v>58</v>
      </c>
      <c r="B79" s="235" t="s">
        <v>509</v>
      </c>
      <c r="C79" s="241" t="s">
        <v>29</v>
      </c>
      <c r="D79" s="244">
        <v>1</v>
      </c>
      <c r="E79" s="33"/>
      <c r="F79" s="33"/>
      <c r="G79" s="4"/>
      <c r="H79" s="4"/>
      <c r="I79" s="4"/>
      <c r="J79" s="337"/>
      <c r="K79" s="338"/>
      <c r="L79" s="338"/>
      <c r="M79" s="338"/>
      <c r="N79" s="338"/>
      <c r="O79" s="339"/>
    </row>
    <row r="80" spans="1:15" s="113" customFormat="1" ht="12.75">
      <c r="A80" s="106">
        <f t="shared" si="1"/>
        <v>59</v>
      </c>
      <c r="B80" s="235" t="s">
        <v>510</v>
      </c>
      <c r="C80" s="241" t="s">
        <v>29</v>
      </c>
      <c r="D80" s="244">
        <v>4</v>
      </c>
      <c r="E80" s="33"/>
      <c r="F80" s="33"/>
      <c r="G80" s="4"/>
      <c r="H80" s="4"/>
      <c r="I80" s="4"/>
      <c r="J80" s="337"/>
      <c r="K80" s="338"/>
      <c r="L80" s="338"/>
      <c r="M80" s="338"/>
      <c r="N80" s="338"/>
      <c r="O80" s="339"/>
    </row>
    <row r="81" spans="1:15" s="113" customFormat="1" ht="12.75">
      <c r="A81" s="106">
        <f t="shared" si="1"/>
        <v>60</v>
      </c>
      <c r="B81" s="235" t="s">
        <v>511</v>
      </c>
      <c r="C81" s="241" t="s">
        <v>29</v>
      </c>
      <c r="D81" s="244">
        <v>1</v>
      </c>
      <c r="E81" s="33"/>
      <c r="F81" s="33"/>
      <c r="G81" s="4"/>
      <c r="H81" s="4"/>
      <c r="I81" s="4"/>
      <c r="J81" s="337"/>
      <c r="K81" s="338"/>
      <c r="L81" s="338"/>
      <c r="M81" s="338"/>
      <c r="N81" s="338"/>
      <c r="O81" s="339"/>
    </row>
    <row r="82" spans="1:15" s="113" customFormat="1" ht="12.75">
      <c r="A82" s="106">
        <f t="shared" si="1"/>
        <v>61</v>
      </c>
      <c r="B82" s="235" t="s">
        <v>492</v>
      </c>
      <c r="C82" s="241" t="s">
        <v>30</v>
      </c>
      <c r="D82" s="244">
        <v>2</v>
      </c>
      <c r="E82" s="9"/>
      <c r="F82" s="33"/>
      <c r="G82" s="4"/>
      <c r="H82" s="4"/>
      <c r="I82" s="4"/>
      <c r="J82" s="337"/>
      <c r="K82" s="338"/>
      <c r="L82" s="338"/>
      <c r="M82" s="338"/>
      <c r="N82" s="338"/>
      <c r="O82" s="339"/>
    </row>
    <row r="83" spans="1:15" s="113" customFormat="1" ht="12.75">
      <c r="A83" s="106"/>
      <c r="B83" s="239" t="s">
        <v>266</v>
      </c>
      <c r="C83" s="241"/>
      <c r="D83" s="242"/>
      <c r="E83" s="107"/>
      <c r="F83" s="108"/>
      <c r="G83" s="4"/>
      <c r="H83" s="4"/>
      <c r="I83" s="4"/>
      <c r="J83" s="108"/>
      <c r="K83" s="108"/>
      <c r="L83" s="108"/>
      <c r="M83" s="108"/>
      <c r="N83" s="108"/>
      <c r="O83" s="109"/>
    </row>
    <row r="84" spans="1:15" s="113" customFormat="1" ht="24">
      <c r="A84" s="106"/>
      <c r="B84" s="239" t="s">
        <v>484</v>
      </c>
      <c r="C84" s="241"/>
      <c r="D84" s="242"/>
      <c r="E84" s="107"/>
      <c r="F84" s="108"/>
      <c r="G84" s="4"/>
      <c r="H84" s="4"/>
      <c r="I84" s="4"/>
      <c r="J84" s="108"/>
      <c r="K84" s="108"/>
      <c r="L84" s="108"/>
      <c r="M84" s="108"/>
      <c r="N84" s="108"/>
      <c r="O84" s="109"/>
    </row>
    <row r="85" spans="1:15" s="113" customFormat="1" ht="36">
      <c r="A85" s="106">
        <v>62</v>
      </c>
      <c r="B85" s="235" t="s">
        <v>512</v>
      </c>
      <c r="C85" s="241" t="s">
        <v>42</v>
      </c>
      <c r="D85" s="243">
        <v>24</v>
      </c>
      <c r="E85" s="9"/>
      <c r="F85" s="33"/>
      <c r="G85" s="4"/>
      <c r="H85" s="4"/>
      <c r="I85" s="4"/>
      <c r="J85" s="337"/>
      <c r="K85" s="338"/>
      <c r="L85" s="338"/>
      <c r="M85" s="338"/>
      <c r="N85" s="338"/>
      <c r="O85" s="339"/>
    </row>
    <row r="86" spans="1:15" s="113" customFormat="1" ht="36">
      <c r="A86" s="106">
        <f t="shared" si="1"/>
        <v>63</v>
      </c>
      <c r="B86" s="235" t="s">
        <v>513</v>
      </c>
      <c r="C86" s="241" t="s">
        <v>42</v>
      </c>
      <c r="D86" s="243">
        <v>20</v>
      </c>
      <c r="E86" s="9"/>
      <c r="F86" s="33"/>
      <c r="G86" s="4"/>
      <c r="H86" s="4"/>
      <c r="I86" s="4"/>
      <c r="J86" s="337"/>
      <c r="K86" s="338"/>
      <c r="L86" s="338"/>
      <c r="M86" s="338"/>
      <c r="N86" s="338"/>
      <c r="O86" s="339"/>
    </row>
    <row r="87" spans="1:15" s="113" customFormat="1" ht="36">
      <c r="A87" s="106">
        <f t="shared" si="1"/>
        <v>64</v>
      </c>
      <c r="B87" s="235" t="s">
        <v>514</v>
      </c>
      <c r="C87" s="241" t="s">
        <v>42</v>
      </c>
      <c r="D87" s="243">
        <v>39</v>
      </c>
      <c r="E87" s="9"/>
      <c r="F87" s="33"/>
      <c r="G87" s="4"/>
      <c r="H87" s="4"/>
      <c r="I87" s="4"/>
      <c r="J87" s="337"/>
      <c r="K87" s="338"/>
      <c r="L87" s="338"/>
      <c r="M87" s="338"/>
      <c r="N87" s="338"/>
      <c r="O87" s="339"/>
    </row>
    <row r="88" spans="1:15" s="113" customFormat="1" ht="12.75">
      <c r="A88" s="106">
        <f t="shared" si="1"/>
        <v>65</v>
      </c>
      <c r="B88" s="235" t="s">
        <v>510</v>
      </c>
      <c r="C88" s="241" t="s">
        <v>29</v>
      </c>
      <c r="D88" s="244">
        <v>1</v>
      </c>
      <c r="E88" s="33"/>
      <c r="F88" s="33"/>
      <c r="G88" s="4"/>
      <c r="H88" s="4"/>
      <c r="I88" s="4"/>
      <c r="J88" s="337"/>
      <c r="K88" s="338"/>
      <c r="L88" s="338"/>
      <c r="M88" s="338"/>
      <c r="N88" s="338"/>
      <c r="O88" s="339"/>
    </row>
    <row r="89" spans="1:15" s="113" customFormat="1" ht="12.75">
      <c r="A89" s="106">
        <f t="shared" si="1"/>
        <v>66</v>
      </c>
      <c r="B89" s="235" t="s">
        <v>515</v>
      </c>
      <c r="C89" s="241" t="s">
        <v>29</v>
      </c>
      <c r="D89" s="244">
        <v>4</v>
      </c>
      <c r="E89" s="33"/>
      <c r="F89" s="33"/>
      <c r="G89" s="4"/>
      <c r="H89" s="4"/>
      <c r="I89" s="4"/>
      <c r="J89" s="337"/>
      <c r="K89" s="338"/>
      <c r="L89" s="338"/>
      <c r="M89" s="338"/>
      <c r="N89" s="338"/>
      <c r="O89" s="339"/>
    </row>
    <row r="90" spans="1:15" s="113" customFormat="1" ht="12.75">
      <c r="A90" s="106">
        <f t="shared" si="1"/>
        <v>67</v>
      </c>
      <c r="B90" s="235" t="s">
        <v>492</v>
      </c>
      <c r="C90" s="241" t="s">
        <v>30</v>
      </c>
      <c r="D90" s="244">
        <v>2</v>
      </c>
      <c r="E90" s="9"/>
      <c r="F90" s="33"/>
      <c r="G90" s="4"/>
      <c r="H90" s="4"/>
      <c r="I90" s="4"/>
      <c r="J90" s="337"/>
      <c r="K90" s="338"/>
      <c r="L90" s="338"/>
      <c r="M90" s="338"/>
      <c r="N90" s="338"/>
      <c r="O90" s="339"/>
    </row>
    <row r="91" spans="1:15" s="113" customFormat="1" ht="12.75">
      <c r="A91" s="106"/>
      <c r="B91" s="239" t="s">
        <v>267</v>
      </c>
      <c r="C91" s="241"/>
      <c r="D91" s="242"/>
      <c r="E91" s="107"/>
      <c r="F91" s="108"/>
      <c r="G91" s="4"/>
      <c r="H91" s="4"/>
      <c r="I91" s="4"/>
      <c r="J91" s="108"/>
      <c r="K91" s="108"/>
      <c r="L91" s="108"/>
      <c r="M91" s="108"/>
      <c r="N91" s="108"/>
      <c r="O91" s="109"/>
    </row>
    <row r="92" spans="1:15" s="113" customFormat="1" ht="24">
      <c r="A92" s="106"/>
      <c r="B92" s="239" t="s">
        <v>484</v>
      </c>
      <c r="C92" s="241"/>
      <c r="D92" s="242"/>
      <c r="E92" s="107"/>
      <c r="F92" s="108"/>
      <c r="G92" s="4"/>
      <c r="H92" s="4"/>
      <c r="I92" s="4"/>
      <c r="J92" s="108"/>
      <c r="K92" s="108"/>
      <c r="L92" s="108"/>
      <c r="M92" s="108"/>
      <c r="N92" s="108"/>
      <c r="O92" s="109"/>
    </row>
    <row r="93" spans="1:15" s="113" customFormat="1" ht="36">
      <c r="A93" s="106">
        <v>68</v>
      </c>
      <c r="B93" s="235" t="s">
        <v>516</v>
      </c>
      <c r="C93" s="241" t="s">
        <v>42</v>
      </c>
      <c r="D93" s="243">
        <v>25</v>
      </c>
      <c r="E93" s="9"/>
      <c r="F93" s="33"/>
      <c r="G93" s="4"/>
      <c r="H93" s="4"/>
      <c r="I93" s="4"/>
      <c r="J93" s="337"/>
      <c r="K93" s="338"/>
      <c r="L93" s="338"/>
      <c r="M93" s="338"/>
      <c r="N93" s="338"/>
      <c r="O93" s="339"/>
    </row>
    <row r="94" spans="1:15" s="113" customFormat="1" ht="12.75">
      <c r="A94" s="106">
        <f t="shared" si="1"/>
        <v>69</v>
      </c>
      <c r="B94" s="235" t="s">
        <v>517</v>
      </c>
      <c r="C94" s="241" t="s">
        <v>29</v>
      </c>
      <c r="D94" s="244">
        <v>1</v>
      </c>
      <c r="E94" s="9"/>
      <c r="F94" s="33"/>
      <c r="G94" s="4"/>
      <c r="H94" s="4"/>
      <c r="I94" s="4"/>
      <c r="J94" s="337"/>
      <c r="K94" s="338"/>
      <c r="L94" s="338"/>
      <c r="M94" s="338"/>
      <c r="N94" s="338"/>
      <c r="O94" s="339"/>
    </row>
    <row r="95" spans="1:15" s="113" customFormat="1" ht="12.75">
      <c r="A95" s="106">
        <f t="shared" si="1"/>
        <v>70</v>
      </c>
      <c r="B95" s="235" t="s">
        <v>518</v>
      </c>
      <c r="C95" s="241" t="s">
        <v>29</v>
      </c>
      <c r="D95" s="244">
        <v>1</v>
      </c>
      <c r="E95" s="9"/>
      <c r="F95" s="33"/>
      <c r="G95" s="4"/>
      <c r="H95" s="4"/>
      <c r="I95" s="4"/>
      <c r="J95" s="337"/>
      <c r="K95" s="338"/>
      <c r="L95" s="338"/>
      <c r="M95" s="338"/>
      <c r="N95" s="338"/>
      <c r="O95" s="339"/>
    </row>
    <row r="96" spans="1:15" s="113" customFormat="1" ht="13.5" thickBot="1">
      <c r="A96" s="106">
        <f t="shared" si="1"/>
        <v>71</v>
      </c>
      <c r="B96" s="235" t="s">
        <v>519</v>
      </c>
      <c r="C96" s="241" t="s">
        <v>30</v>
      </c>
      <c r="D96" s="244">
        <v>1</v>
      </c>
      <c r="E96" s="9"/>
      <c r="F96" s="33"/>
      <c r="G96" s="4"/>
      <c r="H96" s="4"/>
      <c r="I96" s="4"/>
      <c r="J96" s="337"/>
      <c r="K96" s="338"/>
      <c r="L96" s="338"/>
      <c r="M96" s="338"/>
      <c r="N96" s="338"/>
      <c r="O96" s="339"/>
    </row>
    <row r="97" spans="1:27" s="27" customFormat="1" ht="15" thickTop="1">
      <c r="A97" s="434" t="s">
        <v>1587</v>
      </c>
      <c r="B97" s="435"/>
      <c r="C97" s="435"/>
      <c r="D97" s="435"/>
      <c r="E97" s="435"/>
      <c r="F97" s="435"/>
      <c r="G97" s="435"/>
      <c r="H97" s="435"/>
      <c r="I97" s="435"/>
      <c r="J97" s="436"/>
      <c r="K97" s="452"/>
      <c r="L97" s="449"/>
      <c r="M97" s="449"/>
      <c r="N97" s="446"/>
      <c r="O97" s="443"/>
      <c r="P97" s="26"/>
      <c r="Q97" s="26"/>
      <c r="R97" s="26"/>
      <c r="S97" s="26"/>
      <c r="T97" s="26"/>
      <c r="U97" s="26"/>
      <c r="V97" s="26"/>
      <c r="W97" s="26"/>
      <c r="X97" s="26"/>
      <c r="Y97" s="26"/>
      <c r="Z97" s="26"/>
      <c r="AA97" s="26"/>
    </row>
    <row r="98" spans="1:27" s="27" customFormat="1" ht="14.25">
      <c r="A98" s="437"/>
      <c r="B98" s="438"/>
      <c r="C98" s="438"/>
      <c r="D98" s="438"/>
      <c r="E98" s="438"/>
      <c r="F98" s="438"/>
      <c r="G98" s="438"/>
      <c r="H98" s="438"/>
      <c r="I98" s="438"/>
      <c r="J98" s="439"/>
      <c r="K98" s="453"/>
      <c r="L98" s="450"/>
      <c r="M98" s="450"/>
      <c r="N98" s="447"/>
      <c r="O98" s="444"/>
      <c r="P98" s="26"/>
      <c r="Q98" s="26"/>
      <c r="R98" s="26"/>
      <c r="S98" s="26"/>
      <c r="T98" s="26"/>
      <c r="U98" s="26"/>
      <c r="V98" s="26"/>
      <c r="W98" s="26"/>
      <c r="X98" s="26"/>
      <c r="Y98" s="26"/>
      <c r="Z98" s="26"/>
      <c r="AA98" s="26"/>
    </row>
    <row r="99" spans="1:27" s="27" customFormat="1" ht="15" thickBot="1">
      <c r="A99" s="440"/>
      <c r="B99" s="441"/>
      <c r="C99" s="441"/>
      <c r="D99" s="441"/>
      <c r="E99" s="441"/>
      <c r="F99" s="441"/>
      <c r="G99" s="441"/>
      <c r="H99" s="441"/>
      <c r="I99" s="441"/>
      <c r="J99" s="442"/>
      <c r="K99" s="454"/>
      <c r="L99" s="451"/>
      <c r="M99" s="451"/>
      <c r="N99" s="448"/>
      <c r="O99" s="445"/>
      <c r="P99" s="26"/>
      <c r="Q99" s="26"/>
      <c r="R99" s="26"/>
      <c r="S99" s="26"/>
      <c r="T99" s="26"/>
      <c r="U99" s="26"/>
      <c r="V99" s="26"/>
      <c r="W99" s="26"/>
      <c r="X99" s="26"/>
      <c r="Y99" s="26"/>
      <c r="Z99" s="26"/>
      <c r="AA99" s="26"/>
    </row>
    <row r="100" spans="1:27" s="27" customFormat="1" ht="14.25">
      <c r="B100" s="3"/>
      <c r="P100" s="26"/>
      <c r="Q100" s="26"/>
      <c r="R100" s="26"/>
      <c r="S100" s="26"/>
      <c r="T100" s="26"/>
      <c r="U100" s="26"/>
      <c r="V100" s="26"/>
      <c r="W100" s="26"/>
      <c r="X100" s="26"/>
      <c r="Y100" s="26"/>
      <c r="Z100" s="26"/>
      <c r="AA100" s="26"/>
    </row>
    <row r="101" spans="1:27" s="27" customFormat="1" ht="14.25">
      <c r="B101" s="65"/>
      <c r="P101" s="26"/>
      <c r="Q101" s="26"/>
      <c r="R101" s="26"/>
      <c r="S101" s="26"/>
      <c r="T101" s="26"/>
      <c r="U101" s="26"/>
      <c r="V101" s="26"/>
      <c r="W101" s="26"/>
      <c r="X101" s="26"/>
      <c r="Y101" s="26"/>
      <c r="Z101" s="26"/>
      <c r="AA101" s="26"/>
    </row>
    <row r="102" spans="1:27" s="102" customFormat="1" ht="14.25">
      <c r="A102" s="117"/>
      <c r="B102" s="172" t="s">
        <v>209</v>
      </c>
      <c r="C102" s="117"/>
      <c r="D102" s="117"/>
      <c r="E102" s="117"/>
      <c r="F102" s="117"/>
      <c r="G102" s="117"/>
      <c r="H102" s="117"/>
      <c r="P102" s="25"/>
      <c r="Q102" s="25"/>
      <c r="R102" s="25"/>
      <c r="S102" s="25"/>
      <c r="T102" s="25"/>
      <c r="U102" s="25"/>
      <c r="V102" s="25"/>
      <c r="W102" s="25"/>
      <c r="X102" s="25"/>
      <c r="Y102" s="25"/>
      <c r="Z102" s="25"/>
      <c r="AA102" s="25"/>
    </row>
    <row r="103" spans="1:27" s="102" customFormat="1" ht="14.25">
      <c r="A103" s="117"/>
      <c r="B103" s="172"/>
      <c r="C103" s="117"/>
      <c r="D103" s="117"/>
      <c r="E103" s="117"/>
      <c r="F103" s="117"/>
      <c r="G103" s="117"/>
      <c r="H103" s="117"/>
      <c r="P103" s="25"/>
      <c r="Q103" s="25"/>
      <c r="R103" s="25"/>
      <c r="S103" s="25"/>
      <c r="T103" s="25"/>
      <c r="U103" s="25"/>
      <c r="V103" s="25"/>
      <c r="W103" s="25"/>
      <c r="X103" s="25"/>
      <c r="Y103" s="25"/>
      <c r="Z103" s="25"/>
      <c r="AA103" s="25"/>
    </row>
    <row r="104" spans="1:27" s="27" customFormat="1" ht="14.25">
      <c r="B104" s="92">
        <f ca="1">TODAY()</f>
        <v>43206</v>
      </c>
      <c r="C104" s="144"/>
      <c r="P104" s="26"/>
      <c r="Q104" s="26"/>
      <c r="R104" s="26"/>
      <c r="S104" s="26"/>
      <c r="T104" s="26"/>
      <c r="U104" s="26"/>
      <c r="V104" s="26"/>
      <c r="W104" s="26"/>
      <c r="X104" s="26"/>
      <c r="Y104" s="26"/>
      <c r="Z104" s="26"/>
      <c r="AA104" s="26"/>
    </row>
    <row r="109" spans="1:27" s="113" customFormat="1" ht="12.75" hidden="1">
      <c r="A109" s="238"/>
      <c r="B109" s="239" t="s">
        <v>1177</v>
      </c>
      <c r="C109" s="241"/>
      <c r="D109" s="242"/>
      <c r="E109" s="107"/>
      <c r="F109" s="108"/>
      <c r="G109" s="4"/>
      <c r="H109" s="4"/>
      <c r="I109" s="4"/>
      <c r="J109" s="108"/>
      <c r="K109" s="108"/>
      <c r="L109" s="108"/>
      <c r="M109" s="108"/>
      <c r="N109" s="108"/>
      <c r="O109" s="109"/>
    </row>
    <row r="110" spans="1:27" s="113" customFormat="1" ht="24" hidden="1">
      <c r="A110" s="238"/>
      <c r="B110" s="239" t="s">
        <v>484</v>
      </c>
      <c r="C110" s="241"/>
      <c r="D110" s="242"/>
      <c r="E110" s="107"/>
      <c r="F110" s="108"/>
      <c r="G110" s="4"/>
      <c r="H110" s="4"/>
      <c r="I110" s="4"/>
      <c r="J110" s="108"/>
      <c r="K110" s="108"/>
      <c r="L110" s="108"/>
      <c r="M110" s="108"/>
      <c r="N110" s="108"/>
      <c r="O110" s="109"/>
    </row>
    <row r="111" spans="1:27" s="113" customFormat="1" ht="36" hidden="1">
      <c r="A111" s="245">
        <v>1</v>
      </c>
      <c r="B111" s="235" t="s">
        <v>1176</v>
      </c>
      <c r="C111" s="241" t="s">
        <v>30</v>
      </c>
      <c r="D111" s="244">
        <v>1</v>
      </c>
      <c r="E111" s="9">
        <v>3.1</v>
      </c>
      <c r="F111" s="33">
        <v>8.07</v>
      </c>
      <c r="G111" s="4">
        <f t="shared" ref="G111" si="2">ROUND(E111*F111,2)</f>
        <v>25.02</v>
      </c>
      <c r="H111" s="4">
        <f>ROUND(888/1.21,2)</f>
        <v>733.88</v>
      </c>
      <c r="I111" s="4">
        <f t="shared" ref="I111:I115" si="3">ROUND(G111*0.05,2)</f>
        <v>1.25</v>
      </c>
      <c r="J111" s="108">
        <f t="shared" ref="J111:J118" si="4">ROUND(SUM(G111:I111),2)</f>
        <v>760.15</v>
      </c>
      <c r="K111" s="4">
        <f t="shared" ref="K111:K118" si="5">IF(E111=0,"",E111*D111)</f>
        <v>3.1</v>
      </c>
      <c r="L111" s="4">
        <f t="shared" ref="L111:L118" si="6">IF(G111=0,"",G111*D111)</f>
        <v>25.02</v>
      </c>
      <c r="M111" s="4">
        <f t="shared" ref="M111:M118" si="7">IF(H111=0,"",H111*D111)</f>
        <v>733.88</v>
      </c>
      <c r="N111" s="4">
        <f t="shared" ref="N111:N118" si="8">IF(I111=0,"",I111*D111)</f>
        <v>1.25</v>
      </c>
      <c r="O111" s="20">
        <f t="shared" ref="O111:O118" si="9">ROUND(SUM(L111:N111),2)</f>
        <v>760.15</v>
      </c>
    </row>
    <row r="112" spans="1:27" s="113" customFormat="1" ht="24" hidden="1">
      <c r="A112" s="19" t="s">
        <v>72</v>
      </c>
      <c r="B112" s="235" t="s">
        <v>1175</v>
      </c>
      <c r="C112" s="241" t="s">
        <v>42</v>
      </c>
      <c r="D112" s="243">
        <v>20</v>
      </c>
      <c r="E112" s="9">
        <v>0.35</v>
      </c>
      <c r="F112" s="33">
        <v>8.07</v>
      </c>
      <c r="G112" s="4">
        <f t="shared" ref="G112:G115" si="10">ROUND(E112*F112,2)</f>
        <v>2.82</v>
      </c>
      <c r="H112" s="4">
        <v>3.6</v>
      </c>
      <c r="I112" s="4">
        <f t="shared" si="3"/>
        <v>0.14000000000000001</v>
      </c>
      <c r="J112" s="108">
        <f t="shared" si="4"/>
        <v>6.56</v>
      </c>
      <c r="K112" s="4">
        <f t="shared" si="5"/>
        <v>7</v>
      </c>
      <c r="L112" s="4">
        <f t="shared" si="6"/>
        <v>56.4</v>
      </c>
      <c r="M112" s="4">
        <f t="shared" si="7"/>
        <v>72</v>
      </c>
      <c r="N112" s="4">
        <f t="shared" si="8"/>
        <v>2.8000000000000003</v>
      </c>
      <c r="O112" s="20">
        <f t="shared" si="9"/>
        <v>131.19999999999999</v>
      </c>
    </row>
    <row r="113" spans="1:15" s="113" customFormat="1" ht="12.75" hidden="1">
      <c r="A113" s="19" t="s">
        <v>73</v>
      </c>
      <c r="B113" s="235" t="s">
        <v>1174</v>
      </c>
      <c r="C113" s="241" t="s">
        <v>30</v>
      </c>
      <c r="D113" s="244">
        <v>15</v>
      </c>
      <c r="E113" s="33">
        <v>1.35</v>
      </c>
      <c r="F113" s="33">
        <v>8.07</v>
      </c>
      <c r="G113" s="4">
        <f t="shared" si="10"/>
        <v>10.89</v>
      </c>
      <c r="H113" s="4">
        <f>ROUND(67.71/1.21,2)</f>
        <v>55.96</v>
      </c>
      <c r="I113" s="4">
        <f t="shared" si="3"/>
        <v>0.54</v>
      </c>
      <c r="J113" s="4">
        <f t="shared" si="4"/>
        <v>67.39</v>
      </c>
      <c r="K113" s="4">
        <f t="shared" si="5"/>
        <v>20.25</v>
      </c>
      <c r="L113" s="4">
        <f t="shared" si="6"/>
        <v>163.35000000000002</v>
      </c>
      <c r="M113" s="4">
        <f t="shared" si="7"/>
        <v>839.4</v>
      </c>
      <c r="N113" s="4">
        <f t="shared" si="8"/>
        <v>8.1000000000000014</v>
      </c>
      <c r="O113" s="20">
        <f t="shared" si="9"/>
        <v>1010.85</v>
      </c>
    </row>
    <row r="114" spans="1:15" s="113" customFormat="1" ht="12.75" hidden="1">
      <c r="A114" s="245">
        <v>2</v>
      </c>
      <c r="B114" s="235" t="s">
        <v>1173</v>
      </c>
      <c r="C114" s="241" t="s">
        <v>30</v>
      </c>
      <c r="D114" s="244">
        <v>1</v>
      </c>
      <c r="E114" s="9">
        <v>4.6500000000000004</v>
      </c>
      <c r="F114" s="33">
        <v>8.07</v>
      </c>
      <c r="G114" s="4">
        <f t="shared" si="10"/>
        <v>37.53</v>
      </c>
      <c r="H114" s="4">
        <f>ROUND(1437.35/1.21,2)</f>
        <v>1187.8900000000001</v>
      </c>
      <c r="I114" s="4">
        <f t="shared" si="3"/>
        <v>1.88</v>
      </c>
      <c r="J114" s="108">
        <f t="shared" si="4"/>
        <v>1227.3</v>
      </c>
      <c r="K114" s="4">
        <f t="shared" si="5"/>
        <v>4.6500000000000004</v>
      </c>
      <c r="L114" s="4">
        <f t="shared" si="6"/>
        <v>37.53</v>
      </c>
      <c r="M114" s="4">
        <f t="shared" si="7"/>
        <v>1187.8900000000001</v>
      </c>
      <c r="N114" s="4">
        <f t="shared" si="8"/>
        <v>1.88</v>
      </c>
      <c r="O114" s="20">
        <f t="shared" si="9"/>
        <v>1227.3</v>
      </c>
    </row>
    <row r="115" spans="1:15" s="113" customFormat="1" ht="12.75" hidden="1">
      <c r="A115" s="245">
        <v>3</v>
      </c>
      <c r="B115" s="235" t="s">
        <v>488</v>
      </c>
      <c r="C115" s="241" t="s">
        <v>29</v>
      </c>
      <c r="D115" s="244">
        <v>1</v>
      </c>
      <c r="E115" s="33">
        <v>1.35</v>
      </c>
      <c r="F115" s="33">
        <v>8.07</v>
      </c>
      <c r="G115" s="4">
        <f t="shared" si="10"/>
        <v>10.89</v>
      </c>
      <c r="H115" s="4">
        <f>ROUND(12.35/1.21,2)</f>
        <v>10.210000000000001</v>
      </c>
      <c r="I115" s="4">
        <f t="shared" si="3"/>
        <v>0.54</v>
      </c>
      <c r="J115" s="108">
        <f t="shared" si="4"/>
        <v>21.64</v>
      </c>
      <c r="K115" s="4">
        <f t="shared" si="5"/>
        <v>1.35</v>
      </c>
      <c r="L115" s="4">
        <f t="shared" si="6"/>
        <v>10.89</v>
      </c>
      <c r="M115" s="4">
        <f t="shared" si="7"/>
        <v>10.210000000000001</v>
      </c>
      <c r="N115" s="4">
        <f t="shared" si="8"/>
        <v>0.54</v>
      </c>
      <c r="O115" s="20">
        <f t="shared" si="9"/>
        <v>21.64</v>
      </c>
    </row>
    <row r="116" spans="1:15" s="113" customFormat="1" ht="13.5" hidden="1">
      <c r="A116" s="245">
        <v>4</v>
      </c>
      <c r="B116" s="235" t="s">
        <v>1172</v>
      </c>
      <c r="C116" s="241" t="s">
        <v>30</v>
      </c>
      <c r="D116" s="244">
        <v>1</v>
      </c>
      <c r="E116" s="33">
        <v>1.35</v>
      </c>
      <c r="F116" s="33">
        <v>8.07</v>
      </c>
      <c r="G116" s="4">
        <f t="shared" ref="G116" si="11">ROUND(E116*F116,2)</f>
        <v>10.89</v>
      </c>
      <c r="H116" s="4">
        <f>ROUND(15.88/1.21,2)</f>
        <v>13.12</v>
      </c>
      <c r="I116" s="4">
        <f t="shared" ref="I116" si="12">ROUND(G116*0.05,2)</f>
        <v>0.54</v>
      </c>
      <c r="J116" s="108">
        <f t="shared" si="4"/>
        <v>24.55</v>
      </c>
      <c r="K116" s="4">
        <f t="shared" si="5"/>
        <v>1.35</v>
      </c>
      <c r="L116" s="4">
        <f t="shared" si="6"/>
        <v>10.89</v>
      </c>
      <c r="M116" s="4">
        <f t="shared" si="7"/>
        <v>13.12</v>
      </c>
      <c r="N116" s="4">
        <f t="shared" si="8"/>
        <v>0.54</v>
      </c>
      <c r="O116" s="20">
        <f t="shared" si="9"/>
        <v>24.55</v>
      </c>
    </row>
    <row r="117" spans="1:15" s="113" customFormat="1" ht="12.75" hidden="1">
      <c r="A117" s="245">
        <v>5</v>
      </c>
      <c r="B117" s="235" t="s">
        <v>508</v>
      </c>
      <c r="C117" s="241" t="s">
        <v>29</v>
      </c>
      <c r="D117" s="244">
        <v>2</v>
      </c>
      <c r="E117" s="33">
        <v>0.65</v>
      </c>
      <c r="F117" s="33">
        <v>8.07</v>
      </c>
      <c r="G117" s="4">
        <f t="shared" ref="G117:G118" si="13">ROUND(E117*F117,2)</f>
        <v>5.25</v>
      </c>
      <c r="H117" s="4">
        <f>ROUND(40.98/1.21,2)</f>
        <v>33.869999999999997</v>
      </c>
      <c r="I117" s="4">
        <f t="shared" ref="I117:I118" si="14">ROUND(G117*0.05,2)</f>
        <v>0.26</v>
      </c>
      <c r="J117" s="108">
        <f t="shared" si="4"/>
        <v>39.380000000000003</v>
      </c>
      <c r="K117" s="4">
        <f t="shared" si="5"/>
        <v>1.3</v>
      </c>
      <c r="L117" s="4">
        <f t="shared" si="6"/>
        <v>10.5</v>
      </c>
      <c r="M117" s="4">
        <f t="shared" si="7"/>
        <v>67.739999999999995</v>
      </c>
      <c r="N117" s="4">
        <f t="shared" si="8"/>
        <v>0.52</v>
      </c>
      <c r="O117" s="20">
        <f t="shared" si="9"/>
        <v>78.760000000000005</v>
      </c>
    </row>
    <row r="118" spans="1:15" s="113" customFormat="1" ht="12.75" hidden="1">
      <c r="A118" s="245">
        <v>6</v>
      </c>
      <c r="B118" s="235" t="s">
        <v>1171</v>
      </c>
      <c r="C118" s="241" t="s">
        <v>29</v>
      </c>
      <c r="D118" s="244">
        <v>1</v>
      </c>
      <c r="E118" s="9">
        <v>0.35</v>
      </c>
      <c r="F118" s="33">
        <v>8.07</v>
      </c>
      <c r="G118" s="4">
        <f t="shared" si="13"/>
        <v>2.82</v>
      </c>
      <c r="H118" s="4">
        <f>ROUND(1.76/1.21,2)</f>
        <v>1.45</v>
      </c>
      <c r="I118" s="4">
        <f t="shared" si="14"/>
        <v>0.14000000000000001</v>
      </c>
      <c r="J118" s="108">
        <f t="shared" si="4"/>
        <v>4.41</v>
      </c>
      <c r="K118" s="4">
        <f t="shared" si="5"/>
        <v>0.35</v>
      </c>
      <c r="L118" s="4">
        <f t="shared" si="6"/>
        <v>2.82</v>
      </c>
      <c r="M118" s="4">
        <f t="shared" si="7"/>
        <v>1.45</v>
      </c>
      <c r="N118" s="4">
        <f t="shared" si="8"/>
        <v>0.14000000000000001</v>
      </c>
      <c r="O118" s="20">
        <f t="shared" si="9"/>
        <v>4.41</v>
      </c>
    </row>
    <row r="119" spans="1:15" s="113" customFormat="1" ht="12.75" hidden="1">
      <c r="A119" s="245">
        <v>7</v>
      </c>
      <c r="B119" s="235" t="s">
        <v>1170</v>
      </c>
      <c r="C119" s="241"/>
      <c r="D119" s="244"/>
      <c r="E119" s="9"/>
      <c r="F119" s="33"/>
      <c r="G119" s="4"/>
      <c r="H119" s="4"/>
      <c r="I119" s="4"/>
      <c r="J119" s="4"/>
      <c r="K119" s="4"/>
      <c r="L119" s="4"/>
      <c r="M119" s="4"/>
      <c r="N119" s="4"/>
      <c r="O119" s="20"/>
    </row>
    <row r="120" spans="1:15" s="113" customFormat="1" ht="12.75" hidden="1">
      <c r="A120" s="19" t="s">
        <v>268</v>
      </c>
      <c r="B120" s="235" t="s">
        <v>1169</v>
      </c>
      <c r="C120" s="241" t="s">
        <v>29</v>
      </c>
      <c r="D120" s="244">
        <v>2</v>
      </c>
      <c r="E120" s="9">
        <v>0.35</v>
      </c>
      <c r="F120" s="33">
        <v>8.07</v>
      </c>
      <c r="G120" s="4">
        <f t="shared" ref="G120" si="15">ROUND(E120*F120,2)</f>
        <v>2.82</v>
      </c>
      <c r="H120" s="4">
        <f>ROUND(2.39/1.21,2)</f>
        <v>1.98</v>
      </c>
      <c r="I120" s="4">
        <f t="shared" ref="I120:I121" si="16">ROUND(G120*0.05,2)</f>
        <v>0.14000000000000001</v>
      </c>
      <c r="J120" s="108">
        <f t="shared" ref="J120:J124" si="17">ROUND(SUM(G120:I120),2)</f>
        <v>4.9400000000000004</v>
      </c>
      <c r="K120" s="4">
        <f t="shared" ref="K120:K124" si="18">IF(E120=0,"",E120*D120)</f>
        <v>0.7</v>
      </c>
      <c r="L120" s="4">
        <f t="shared" ref="L120:L124" si="19">IF(G120=0,"",G120*D120)</f>
        <v>5.64</v>
      </c>
      <c r="M120" s="4">
        <f t="shared" ref="M120:M124" si="20">IF(H120=0,"",H120*D120)</f>
        <v>3.96</v>
      </c>
      <c r="N120" s="4">
        <f t="shared" ref="N120:N124" si="21">IF(I120=0,"",I120*D120)</f>
        <v>0.28000000000000003</v>
      </c>
      <c r="O120" s="20">
        <f t="shared" ref="O120:O124" si="22">ROUND(SUM(L120:N120),2)</f>
        <v>9.8800000000000008</v>
      </c>
    </row>
    <row r="121" spans="1:15" s="113" customFormat="1" ht="12.75" hidden="1">
      <c r="A121" s="19" t="s">
        <v>269</v>
      </c>
      <c r="B121" s="235" t="s">
        <v>515</v>
      </c>
      <c r="C121" s="241" t="s">
        <v>29</v>
      </c>
      <c r="D121" s="244">
        <v>2</v>
      </c>
      <c r="E121" s="33">
        <v>0.65</v>
      </c>
      <c r="F121" s="33">
        <v>8.07</v>
      </c>
      <c r="G121" s="4">
        <f t="shared" ref="G121" si="23">ROUND(E121*F121,2)</f>
        <v>5.25</v>
      </c>
      <c r="H121" s="4">
        <f>ROUND(27.03/1.21,2)</f>
        <v>22.34</v>
      </c>
      <c r="I121" s="129">
        <f t="shared" si="16"/>
        <v>0.26</v>
      </c>
      <c r="J121" s="108">
        <f t="shared" si="17"/>
        <v>27.85</v>
      </c>
      <c r="K121" s="4">
        <f t="shared" si="18"/>
        <v>1.3</v>
      </c>
      <c r="L121" s="4">
        <f t="shared" si="19"/>
        <v>10.5</v>
      </c>
      <c r="M121" s="4">
        <f t="shared" si="20"/>
        <v>44.68</v>
      </c>
      <c r="N121" s="4">
        <f t="shared" si="21"/>
        <v>0.52</v>
      </c>
      <c r="O121" s="20">
        <f t="shared" si="22"/>
        <v>55.7</v>
      </c>
    </row>
    <row r="122" spans="1:15" s="113" customFormat="1" ht="12.75" hidden="1">
      <c r="A122" s="19" t="s">
        <v>270</v>
      </c>
      <c r="B122" s="235" t="s">
        <v>1168</v>
      </c>
      <c r="C122" s="241" t="s">
        <v>29</v>
      </c>
      <c r="D122" s="244">
        <v>1</v>
      </c>
      <c r="E122" s="33">
        <v>0.65</v>
      </c>
      <c r="F122" s="33">
        <v>8.07</v>
      </c>
      <c r="G122" s="4">
        <f t="shared" ref="G122" si="24">ROUND(E122*F122,2)</f>
        <v>5.25</v>
      </c>
      <c r="H122" s="4">
        <f>ROUND(20.93/1.21,2)</f>
        <v>17.3</v>
      </c>
      <c r="I122" s="129">
        <f t="shared" ref="I122" si="25">ROUND(G122*0.05,2)</f>
        <v>0.26</v>
      </c>
      <c r="J122" s="108">
        <f t="shared" si="17"/>
        <v>22.81</v>
      </c>
      <c r="K122" s="4">
        <f t="shared" si="18"/>
        <v>0.65</v>
      </c>
      <c r="L122" s="4">
        <f t="shared" si="19"/>
        <v>5.25</v>
      </c>
      <c r="M122" s="4">
        <f t="shared" si="20"/>
        <v>17.3</v>
      </c>
      <c r="N122" s="4">
        <f t="shared" si="21"/>
        <v>0.26</v>
      </c>
      <c r="O122" s="20">
        <f t="shared" si="22"/>
        <v>22.81</v>
      </c>
    </row>
    <row r="123" spans="1:15" s="113" customFormat="1" ht="12.75" hidden="1">
      <c r="A123" s="19" t="s">
        <v>271</v>
      </c>
      <c r="B123" s="235" t="s">
        <v>1167</v>
      </c>
      <c r="C123" s="241" t="s">
        <v>29</v>
      </c>
      <c r="D123" s="244">
        <v>1</v>
      </c>
      <c r="E123" s="33">
        <v>1.35</v>
      </c>
      <c r="F123" s="33">
        <v>8.07</v>
      </c>
      <c r="G123" s="4">
        <f t="shared" ref="G123" si="26">ROUND(E123*F123,2)</f>
        <v>10.89</v>
      </c>
      <c r="H123" s="4">
        <f>ROUND(17.34/1.21,2)</f>
        <v>14.33</v>
      </c>
      <c r="I123" s="129">
        <f>ROUND(G123*0.05,2)</f>
        <v>0.54</v>
      </c>
      <c r="J123" s="108">
        <f t="shared" si="17"/>
        <v>25.76</v>
      </c>
      <c r="K123" s="4">
        <f t="shared" si="18"/>
        <v>1.35</v>
      </c>
      <c r="L123" s="4">
        <f t="shared" si="19"/>
        <v>10.89</v>
      </c>
      <c r="M123" s="4">
        <f t="shared" si="20"/>
        <v>14.33</v>
      </c>
      <c r="N123" s="4">
        <f t="shared" si="21"/>
        <v>0.54</v>
      </c>
      <c r="O123" s="20">
        <f t="shared" si="22"/>
        <v>25.76</v>
      </c>
    </row>
    <row r="124" spans="1:15" s="113" customFormat="1" ht="12.75" hidden="1">
      <c r="A124" s="19" t="s">
        <v>272</v>
      </c>
      <c r="B124" s="235" t="s">
        <v>488</v>
      </c>
      <c r="C124" s="241" t="s">
        <v>29</v>
      </c>
      <c r="D124" s="244">
        <v>1</v>
      </c>
      <c r="E124" s="33">
        <v>1.35</v>
      </c>
      <c r="F124" s="33">
        <v>8.07</v>
      </c>
      <c r="G124" s="4">
        <f t="shared" ref="G124" si="27">ROUND(E124*F124,2)</f>
        <v>10.89</v>
      </c>
      <c r="H124" s="4">
        <f>ROUND(12.35/1.21,2)</f>
        <v>10.210000000000001</v>
      </c>
      <c r="I124" s="4">
        <f t="shared" ref="I124" si="28">ROUND(G124*0.05,2)</f>
        <v>0.54</v>
      </c>
      <c r="J124" s="108">
        <f t="shared" si="17"/>
        <v>21.64</v>
      </c>
      <c r="K124" s="4">
        <f t="shared" si="18"/>
        <v>1.35</v>
      </c>
      <c r="L124" s="4">
        <f t="shared" si="19"/>
        <v>10.89</v>
      </c>
      <c r="M124" s="4">
        <f t="shared" si="20"/>
        <v>10.210000000000001</v>
      </c>
      <c r="N124" s="4">
        <f t="shared" si="21"/>
        <v>0.54</v>
      </c>
      <c r="O124" s="20">
        <f t="shared" si="22"/>
        <v>21.64</v>
      </c>
    </row>
  </sheetData>
  <mergeCells count="27">
    <mergeCell ref="A97:J99"/>
    <mergeCell ref="O97:O99"/>
    <mergeCell ref="N97:N99"/>
    <mergeCell ref="M97:M99"/>
    <mergeCell ref="L97:L99"/>
    <mergeCell ref="K97:K99"/>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I8:I11"/>
    <mergeCell ref="K8:K11"/>
    <mergeCell ref="L8:L11"/>
    <mergeCell ref="M8:M11"/>
    <mergeCell ref="N8:N11"/>
    <mergeCell ref="O8:O11"/>
  </mergeCells>
  <printOptions horizontalCentered="1"/>
  <pageMargins left="0.70866141732283472" right="0.7086614173228347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85"/>
  <sheetViews>
    <sheetView topLeftCell="A172" zoomScaleNormal="100" workbookViewId="0">
      <selection activeCell="M182" sqref="M182"/>
    </sheetView>
  </sheetViews>
  <sheetFormatPr defaultColWidth="9.140625" defaultRowHeight="12"/>
  <cols>
    <col min="1" max="1" width="5.5703125" style="220" customWidth="1"/>
    <col min="2" max="2" width="36.28515625" style="220" customWidth="1"/>
    <col min="3" max="3" width="10.28515625" style="220" customWidth="1"/>
    <col min="4" max="5" width="7.28515625" style="220" customWidth="1"/>
    <col min="6" max="10" width="8.140625" style="220" customWidth="1"/>
    <col min="11" max="11" width="8.7109375" style="220" customWidth="1"/>
    <col min="12" max="13" width="9.140625" style="220" customWidth="1"/>
    <col min="14" max="14" width="9.7109375" style="220" customWidth="1"/>
    <col min="15" max="15" width="9.140625" style="220" customWidth="1"/>
    <col min="16" max="16" width="11.140625" style="220" customWidth="1"/>
    <col min="17" max="17" width="9.28515625" style="220" customWidth="1"/>
    <col min="18" max="18" width="9.140625" style="220" customWidth="1"/>
    <col min="19" max="22" width="2.140625" style="220" customWidth="1"/>
    <col min="23" max="16384" width="9.140625" style="220"/>
  </cols>
  <sheetData>
    <row r="1" spans="1:16" s="27" customFormat="1" ht="14.25">
      <c r="A1" s="368" t="s">
        <v>273</v>
      </c>
      <c r="B1" s="368"/>
      <c r="C1" s="368"/>
      <c r="D1" s="368"/>
      <c r="E1" s="368"/>
      <c r="F1" s="368"/>
      <c r="G1" s="368"/>
      <c r="H1" s="368"/>
      <c r="I1" s="368"/>
      <c r="J1" s="368"/>
      <c r="K1" s="368"/>
      <c r="L1" s="368"/>
      <c r="M1" s="368"/>
      <c r="N1" s="368"/>
      <c r="O1" s="368"/>
      <c r="P1" s="368"/>
    </row>
    <row r="2" spans="1:16" s="27" customFormat="1" ht="14.25">
      <c r="A2" s="405" t="str">
        <f>Kopsavilkums!C34</f>
        <v>Elektroapgādes un apgaismojums</v>
      </c>
      <c r="B2" s="405"/>
      <c r="C2" s="405"/>
      <c r="D2" s="405"/>
      <c r="E2" s="405"/>
      <c r="F2" s="405"/>
      <c r="G2" s="405"/>
      <c r="H2" s="405"/>
      <c r="I2" s="405"/>
      <c r="J2" s="405"/>
      <c r="K2" s="405"/>
      <c r="L2" s="405"/>
      <c r="M2" s="405"/>
      <c r="N2" s="405"/>
      <c r="O2" s="405"/>
      <c r="P2" s="405"/>
    </row>
    <row r="3" spans="1:16" s="27" customFormat="1" ht="14.25">
      <c r="A3" s="115" t="s">
        <v>1246</v>
      </c>
      <c r="B3" s="119"/>
      <c r="C3" s="119"/>
      <c r="D3" s="119"/>
      <c r="E3" s="119"/>
      <c r="F3" s="119"/>
      <c r="G3" s="119"/>
      <c r="H3" s="119"/>
      <c r="I3" s="119"/>
      <c r="J3" s="119"/>
      <c r="K3" s="119"/>
      <c r="L3" s="119"/>
      <c r="M3" s="119"/>
      <c r="N3" s="119"/>
      <c r="O3" s="119"/>
      <c r="P3" s="119"/>
    </row>
    <row r="4" spans="1:16" s="27" customFormat="1" ht="14.25">
      <c r="A4" s="115" t="s">
        <v>307</v>
      </c>
      <c r="B4" s="119"/>
      <c r="C4" s="119"/>
      <c r="D4" s="119"/>
      <c r="E4" s="119"/>
      <c r="F4" s="119"/>
      <c r="G4" s="119"/>
      <c r="H4" s="119"/>
      <c r="I4" s="119"/>
      <c r="J4" s="119"/>
      <c r="K4" s="119"/>
      <c r="L4" s="119"/>
      <c r="M4" s="119"/>
      <c r="N4" s="119"/>
      <c r="O4" s="119"/>
      <c r="P4" s="119"/>
    </row>
    <row r="5" spans="1:16" s="27" customFormat="1" ht="14.25">
      <c r="A5" s="115" t="s">
        <v>306</v>
      </c>
      <c r="B5" s="119"/>
      <c r="C5" s="119"/>
      <c r="D5" s="119"/>
      <c r="E5" s="119"/>
      <c r="F5" s="119"/>
      <c r="G5" s="119"/>
      <c r="H5" s="119"/>
      <c r="I5" s="119"/>
      <c r="J5" s="119"/>
      <c r="K5" s="119"/>
      <c r="L5" s="119"/>
      <c r="M5" s="119"/>
      <c r="N5" s="119"/>
      <c r="O5" s="119"/>
      <c r="P5" s="119"/>
    </row>
    <row r="6" spans="1:16" s="15" customFormat="1" ht="13.5" thickBot="1">
      <c r="F6" s="28"/>
      <c r="G6" s="28"/>
      <c r="H6" s="28"/>
      <c r="I6" s="28"/>
      <c r="J6" s="28"/>
      <c r="K6" s="370" t="s">
        <v>13</v>
      </c>
      <c r="L6" s="370"/>
      <c r="M6" s="370"/>
      <c r="N6" s="370"/>
      <c r="O6" s="406" t="e">
        <f>#REF!</f>
        <v>#REF!</v>
      </c>
      <c r="P6" s="406"/>
    </row>
    <row r="7" spans="1:16" s="133" customFormat="1" ht="12.75">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113" customFormat="1" ht="13.5" thickTop="1">
      <c r="A13" s="106"/>
      <c r="B13" s="239" t="s">
        <v>581</v>
      </c>
      <c r="C13" s="240"/>
      <c r="D13" s="241"/>
      <c r="E13" s="242"/>
      <c r="F13" s="107"/>
      <c r="G13" s="108"/>
      <c r="H13" s="4"/>
      <c r="I13" s="4"/>
      <c r="J13" s="4"/>
      <c r="K13" s="108"/>
      <c r="L13" s="108"/>
      <c r="M13" s="108"/>
      <c r="N13" s="108"/>
      <c r="O13" s="108"/>
      <c r="P13" s="109"/>
    </row>
    <row r="14" spans="1:16" s="25" customFormat="1" ht="24">
      <c r="A14" s="106">
        <f t="shared" ref="A14:A77" si="0">A13+1</f>
        <v>1</v>
      </c>
      <c r="B14" s="2" t="s">
        <v>582</v>
      </c>
      <c r="C14" s="214"/>
      <c r="D14" s="13" t="s">
        <v>30</v>
      </c>
      <c r="E14" s="215">
        <v>1</v>
      </c>
      <c r="F14" s="107"/>
      <c r="G14" s="108"/>
      <c r="H14" s="4"/>
      <c r="I14" s="4"/>
      <c r="J14" s="4"/>
      <c r="K14" s="337"/>
      <c r="L14" s="338"/>
      <c r="M14" s="338"/>
      <c r="N14" s="338"/>
      <c r="O14" s="338"/>
      <c r="P14" s="339"/>
    </row>
    <row r="15" spans="1:16" s="25" customFormat="1" ht="14.25">
      <c r="A15" s="106">
        <f t="shared" si="0"/>
        <v>2</v>
      </c>
      <c r="B15" s="49" t="s">
        <v>1122</v>
      </c>
      <c r="C15" s="214">
        <v>31106</v>
      </c>
      <c r="D15" s="13" t="s">
        <v>29</v>
      </c>
      <c r="E15" s="215">
        <v>1</v>
      </c>
      <c r="F15" s="107"/>
      <c r="G15" s="108"/>
      <c r="H15" s="4"/>
      <c r="I15" s="129"/>
      <c r="J15" s="4"/>
      <c r="K15" s="337"/>
      <c r="L15" s="338"/>
      <c r="M15" s="338"/>
      <c r="N15" s="338"/>
      <c r="O15" s="338"/>
      <c r="P15" s="339"/>
    </row>
    <row r="16" spans="1:16" s="25" customFormat="1" ht="24">
      <c r="A16" s="106">
        <f t="shared" si="0"/>
        <v>3</v>
      </c>
      <c r="B16" s="2" t="s">
        <v>993</v>
      </c>
      <c r="C16" s="214" t="s">
        <v>583</v>
      </c>
      <c r="D16" s="13" t="s">
        <v>29</v>
      </c>
      <c r="E16" s="215">
        <v>1</v>
      </c>
      <c r="F16" s="107"/>
      <c r="G16" s="108"/>
      <c r="H16" s="4"/>
      <c r="I16" s="129"/>
      <c r="J16" s="4"/>
      <c r="K16" s="337"/>
      <c r="L16" s="338"/>
      <c r="M16" s="338"/>
      <c r="N16" s="338"/>
      <c r="O16" s="338"/>
      <c r="P16" s="339"/>
    </row>
    <row r="17" spans="1:16" s="25" customFormat="1" ht="24">
      <c r="A17" s="106">
        <f t="shared" si="0"/>
        <v>4</v>
      </c>
      <c r="B17" s="2" t="s">
        <v>994</v>
      </c>
      <c r="C17" s="214" t="s">
        <v>584</v>
      </c>
      <c r="D17" s="13" t="s">
        <v>29</v>
      </c>
      <c r="E17" s="215">
        <v>9</v>
      </c>
      <c r="F17" s="107"/>
      <c r="G17" s="108"/>
      <c r="H17" s="4"/>
      <c r="I17" s="129"/>
      <c r="J17" s="4"/>
      <c r="K17" s="337"/>
      <c r="L17" s="338"/>
      <c r="M17" s="338"/>
      <c r="N17" s="338"/>
      <c r="O17" s="338"/>
      <c r="P17" s="339"/>
    </row>
    <row r="18" spans="1:16" s="25" customFormat="1" ht="24">
      <c r="A18" s="106">
        <f t="shared" si="0"/>
        <v>5</v>
      </c>
      <c r="B18" s="2" t="s">
        <v>995</v>
      </c>
      <c r="C18" s="214" t="s">
        <v>585</v>
      </c>
      <c r="D18" s="13" t="s">
        <v>29</v>
      </c>
      <c r="E18" s="215">
        <v>2</v>
      </c>
      <c r="F18" s="107"/>
      <c r="G18" s="108"/>
      <c r="H18" s="4"/>
      <c r="I18" s="129"/>
      <c r="J18" s="4"/>
      <c r="K18" s="337"/>
      <c r="L18" s="338"/>
      <c r="M18" s="338"/>
      <c r="N18" s="338"/>
      <c r="O18" s="338"/>
      <c r="P18" s="339"/>
    </row>
    <row r="19" spans="1:16" s="25" customFormat="1" ht="24">
      <c r="A19" s="106">
        <f t="shared" si="0"/>
        <v>6</v>
      </c>
      <c r="B19" s="2" t="s">
        <v>996</v>
      </c>
      <c r="C19" s="214" t="s">
        <v>586</v>
      </c>
      <c r="D19" s="13" t="s">
        <v>29</v>
      </c>
      <c r="E19" s="215">
        <v>1</v>
      </c>
      <c r="F19" s="107"/>
      <c r="G19" s="108"/>
      <c r="H19" s="4"/>
      <c r="I19" s="129"/>
      <c r="J19" s="4"/>
      <c r="K19" s="337"/>
      <c r="L19" s="338"/>
      <c r="M19" s="338"/>
      <c r="N19" s="338"/>
      <c r="O19" s="338"/>
      <c r="P19" s="339"/>
    </row>
    <row r="20" spans="1:16" s="25" customFormat="1" ht="24">
      <c r="A20" s="106">
        <f t="shared" si="0"/>
        <v>7</v>
      </c>
      <c r="B20" s="2" t="s">
        <v>997</v>
      </c>
      <c r="C20" s="214" t="s">
        <v>588</v>
      </c>
      <c r="D20" s="13" t="s">
        <v>29</v>
      </c>
      <c r="E20" s="215">
        <v>1</v>
      </c>
      <c r="F20" s="107"/>
      <c r="G20" s="108"/>
      <c r="H20" s="4"/>
      <c r="I20" s="129"/>
      <c r="J20" s="4"/>
      <c r="K20" s="337"/>
      <c r="L20" s="338"/>
      <c r="M20" s="338"/>
      <c r="N20" s="338"/>
      <c r="O20" s="338"/>
      <c r="P20" s="339"/>
    </row>
    <row r="21" spans="1:16" s="25" customFormat="1" ht="24">
      <c r="A21" s="106">
        <f t="shared" si="0"/>
        <v>8</v>
      </c>
      <c r="B21" s="2" t="s">
        <v>589</v>
      </c>
      <c r="C21" s="214"/>
      <c r="D21" s="13" t="s">
        <v>29</v>
      </c>
      <c r="E21" s="215">
        <v>4</v>
      </c>
      <c r="F21" s="107"/>
      <c r="G21" s="108"/>
      <c r="H21" s="4"/>
      <c r="I21" s="129"/>
      <c r="J21" s="4"/>
      <c r="K21" s="337"/>
      <c r="L21" s="338"/>
      <c r="M21" s="338"/>
      <c r="N21" s="338"/>
      <c r="O21" s="338"/>
      <c r="P21" s="339"/>
    </row>
    <row r="22" spans="1:16" s="25" customFormat="1" ht="24">
      <c r="A22" s="106">
        <f t="shared" si="0"/>
        <v>9</v>
      </c>
      <c r="B22" s="2" t="s">
        <v>998</v>
      </c>
      <c r="C22" s="214"/>
      <c r="D22" s="13" t="s">
        <v>30</v>
      </c>
      <c r="E22" s="215">
        <v>1</v>
      </c>
      <c r="F22" s="107"/>
      <c r="G22" s="108"/>
      <c r="H22" s="4"/>
      <c r="I22" s="4"/>
      <c r="J22" s="4"/>
      <c r="K22" s="337"/>
      <c r="L22" s="338"/>
      <c r="M22" s="338"/>
      <c r="N22" s="338"/>
      <c r="O22" s="338"/>
      <c r="P22" s="339"/>
    </row>
    <row r="23" spans="1:16" s="113" customFormat="1" ht="12.75">
      <c r="A23" s="106"/>
      <c r="B23" s="239" t="s">
        <v>590</v>
      </c>
      <c r="C23" s="240"/>
      <c r="D23" s="242"/>
      <c r="E23" s="107"/>
      <c r="G23" s="108"/>
      <c r="H23" s="4"/>
      <c r="I23" s="4"/>
      <c r="J23" s="4"/>
      <c r="K23" s="108"/>
      <c r="L23" s="108"/>
      <c r="M23" s="108"/>
      <c r="N23" s="108"/>
      <c r="O23" s="108"/>
      <c r="P23" s="109"/>
    </row>
    <row r="24" spans="1:16" s="25" customFormat="1" ht="36">
      <c r="A24" s="106">
        <v>10</v>
      </c>
      <c r="B24" s="2" t="s">
        <v>1126</v>
      </c>
      <c r="C24" s="214"/>
      <c r="D24" s="13" t="s">
        <v>30</v>
      </c>
      <c r="E24" s="215">
        <v>1</v>
      </c>
      <c r="F24" s="107"/>
      <c r="G24" s="108"/>
      <c r="H24" s="4"/>
      <c r="I24" s="4"/>
      <c r="J24" s="4"/>
      <c r="K24" s="337"/>
      <c r="L24" s="338"/>
      <c r="M24" s="338"/>
      <c r="N24" s="338"/>
      <c r="O24" s="338"/>
      <c r="P24" s="339"/>
    </row>
    <row r="25" spans="1:16" s="25" customFormat="1" ht="14.25">
      <c r="A25" s="106">
        <f t="shared" si="0"/>
        <v>11</v>
      </c>
      <c r="B25" s="49" t="s">
        <v>999</v>
      </c>
      <c r="C25" s="214" t="s">
        <v>591</v>
      </c>
      <c r="D25" s="13" t="s">
        <v>29</v>
      </c>
      <c r="E25" s="215">
        <v>1</v>
      </c>
      <c r="F25" s="107"/>
      <c r="G25" s="108"/>
      <c r="H25" s="4"/>
      <c r="I25" s="129"/>
      <c r="J25" s="4"/>
      <c r="K25" s="337"/>
      <c r="L25" s="338"/>
      <c r="M25" s="338"/>
      <c r="N25" s="338"/>
      <c r="O25" s="338"/>
      <c r="P25" s="339"/>
    </row>
    <row r="26" spans="1:16" s="25" customFormat="1" ht="24">
      <c r="A26" s="106">
        <f t="shared" si="0"/>
        <v>12</v>
      </c>
      <c r="B26" s="2" t="s">
        <v>1000</v>
      </c>
      <c r="C26" s="214" t="s">
        <v>592</v>
      </c>
      <c r="D26" s="13" t="s">
        <v>29</v>
      </c>
      <c r="E26" s="215">
        <v>1</v>
      </c>
      <c r="F26" s="107"/>
      <c r="G26" s="108"/>
      <c r="H26" s="4"/>
      <c r="I26" s="129"/>
      <c r="J26" s="4"/>
      <c r="K26" s="337"/>
      <c r="L26" s="338"/>
      <c r="M26" s="338"/>
      <c r="N26" s="338"/>
      <c r="O26" s="338"/>
      <c r="P26" s="339"/>
    </row>
    <row r="27" spans="1:16" s="25" customFormat="1" ht="24">
      <c r="A27" s="106">
        <f t="shared" si="0"/>
        <v>13</v>
      </c>
      <c r="B27" s="2" t="s">
        <v>1001</v>
      </c>
      <c r="C27" s="214" t="s">
        <v>593</v>
      </c>
      <c r="D27" s="13" t="s">
        <v>29</v>
      </c>
      <c r="E27" s="215">
        <v>2</v>
      </c>
      <c r="F27" s="107"/>
      <c r="G27" s="108"/>
      <c r="H27" s="4"/>
      <c r="I27" s="129"/>
      <c r="J27" s="4"/>
      <c r="K27" s="337"/>
      <c r="L27" s="338"/>
      <c r="M27" s="338"/>
      <c r="N27" s="338"/>
      <c r="O27" s="338"/>
      <c r="P27" s="339"/>
    </row>
    <row r="28" spans="1:16" s="25" customFormat="1" ht="24">
      <c r="A28" s="106">
        <f t="shared" si="0"/>
        <v>14</v>
      </c>
      <c r="B28" s="2" t="s">
        <v>1002</v>
      </c>
      <c r="C28" s="214" t="s">
        <v>594</v>
      </c>
      <c r="D28" s="13" t="s">
        <v>29</v>
      </c>
      <c r="E28" s="215">
        <v>1</v>
      </c>
      <c r="F28" s="107"/>
      <c r="G28" s="108"/>
      <c r="H28" s="4"/>
      <c r="I28" s="129"/>
      <c r="J28" s="4"/>
      <c r="K28" s="337"/>
      <c r="L28" s="338"/>
      <c r="M28" s="338"/>
      <c r="N28" s="338"/>
      <c r="O28" s="338"/>
      <c r="P28" s="339"/>
    </row>
    <row r="29" spans="1:16" s="25" customFormat="1" ht="24">
      <c r="A29" s="106">
        <f t="shared" si="0"/>
        <v>15</v>
      </c>
      <c r="B29" s="2" t="s">
        <v>996</v>
      </c>
      <c r="C29" s="214" t="s">
        <v>586</v>
      </c>
      <c r="D29" s="13" t="s">
        <v>29</v>
      </c>
      <c r="E29" s="215">
        <v>4</v>
      </c>
      <c r="F29" s="107"/>
      <c r="G29" s="108"/>
      <c r="H29" s="4"/>
      <c r="I29" s="129"/>
      <c r="J29" s="4"/>
      <c r="K29" s="337"/>
      <c r="L29" s="338"/>
      <c r="M29" s="338"/>
      <c r="N29" s="338"/>
      <c r="O29" s="338"/>
      <c r="P29" s="339"/>
    </row>
    <row r="30" spans="1:16" s="25" customFormat="1" ht="24">
      <c r="A30" s="106">
        <f t="shared" si="0"/>
        <v>16</v>
      </c>
      <c r="B30" s="2" t="s">
        <v>1003</v>
      </c>
      <c r="C30" s="214" t="s">
        <v>595</v>
      </c>
      <c r="D30" s="13" t="s">
        <v>29</v>
      </c>
      <c r="E30" s="215">
        <v>6</v>
      </c>
      <c r="F30" s="107"/>
      <c r="G30" s="108"/>
      <c r="H30" s="4"/>
      <c r="I30" s="129"/>
      <c r="J30" s="4"/>
      <c r="K30" s="337"/>
      <c r="L30" s="338"/>
      <c r="M30" s="338"/>
      <c r="N30" s="338"/>
      <c r="O30" s="338"/>
      <c r="P30" s="339"/>
    </row>
    <row r="31" spans="1:16" s="25" customFormat="1" ht="24">
      <c r="A31" s="106">
        <f t="shared" si="0"/>
        <v>17</v>
      </c>
      <c r="B31" s="2" t="s">
        <v>997</v>
      </c>
      <c r="C31" s="214" t="s">
        <v>596</v>
      </c>
      <c r="D31" s="13" t="s">
        <v>29</v>
      </c>
      <c r="E31" s="215">
        <v>4</v>
      </c>
      <c r="F31" s="107"/>
      <c r="G31" s="108"/>
      <c r="H31" s="4"/>
      <c r="I31" s="129"/>
      <c r="J31" s="4"/>
      <c r="K31" s="337"/>
      <c r="L31" s="338"/>
      <c r="M31" s="338"/>
      <c r="N31" s="338"/>
      <c r="O31" s="338"/>
      <c r="P31" s="339"/>
    </row>
    <row r="32" spans="1:16" s="25" customFormat="1" ht="24">
      <c r="A32" s="106">
        <f t="shared" si="0"/>
        <v>18</v>
      </c>
      <c r="B32" s="2" t="s">
        <v>1004</v>
      </c>
      <c r="C32" s="214" t="s">
        <v>598</v>
      </c>
      <c r="D32" s="13" t="s">
        <v>29</v>
      </c>
      <c r="E32" s="215">
        <v>5</v>
      </c>
      <c r="F32" s="107"/>
      <c r="G32" s="108"/>
      <c r="H32" s="4"/>
      <c r="I32" s="129"/>
      <c r="J32" s="4"/>
      <c r="K32" s="337"/>
      <c r="L32" s="338"/>
      <c r="M32" s="338"/>
      <c r="N32" s="338"/>
      <c r="O32" s="338"/>
      <c r="P32" s="339"/>
    </row>
    <row r="33" spans="1:16" s="25" customFormat="1" ht="24">
      <c r="A33" s="106">
        <f t="shared" si="0"/>
        <v>19</v>
      </c>
      <c r="B33" s="2" t="s">
        <v>1005</v>
      </c>
      <c r="C33" s="214" t="s">
        <v>599</v>
      </c>
      <c r="D33" s="13" t="s">
        <v>29</v>
      </c>
      <c r="E33" s="215">
        <v>4</v>
      </c>
      <c r="F33" s="107"/>
      <c r="G33" s="108"/>
      <c r="H33" s="4"/>
      <c r="I33" s="129"/>
      <c r="J33" s="4"/>
      <c r="K33" s="337"/>
      <c r="L33" s="338"/>
      <c r="M33" s="338"/>
      <c r="N33" s="338"/>
      <c r="O33" s="338"/>
      <c r="P33" s="339"/>
    </row>
    <row r="34" spans="1:16" s="25" customFormat="1" ht="24">
      <c r="A34" s="106">
        <f t="shared" si="0"/>
        <v>20</v>
      </c>
      <c r="B34" s="2" t="s">
        <v>1006</v>
      </c>
      <c r="C34" s="214" t="s">
        <v>600</v>
      </c>
      <c r="D34" s="13" t="s">
        <v>29</v>
      </c>
      <c r="E34" s="215">
        <v>1</v>
      </c>
      <c r="F34" s="107"/>
      <c r="G34" s="108"/>
      <c r="H34" s="4"/>
      <c r="I34" s="129"/>
      <c r="J34" s="4"/>
      <c r="K34" s="337"/>
      <c r="L34" s="338"/>
      <c r="M34" s="338"/>
      <c r="N34" s="338"/>
      <c r="O34" s="338"/>
      <c r="P34" s="339"/>
    </row>
    <row r="35" spans="1:16" s="25" customFormat="1" ht="24">
      <c r="A35" s="106">
        <f t="shared" si="0"/>
        <v>21</v>
      </c>
      <c r="B35" s="2" t="s">
        <v>998</v>
      </c>
      <c r="C35" s="214"/>
      <c r="D35" s="13" t="s">
        <v>30</v>
      </c>
      <c r="E35" s="215">
        <v>1</v>
      </c>
      <c r="F35" s="107"/>
      <c r="G35" s="108"/>
      <c r="H35" s="4"/>
      <c r="I35" s="4"/>
      <c r="J35" s="4"/>
      <c r="K35" s="337"/>
      <c r="L35" s="338"/>
      <c r="M35" s="338"/>
      <c r="N35" s="338"/>
      <c r="O35" s="338"/>
      <c r="P35" s="339"/>
    </row>
    <row r="36" spans="1:16" s="113" customFormat="1" ht="12.75">
      <c r="A36" s="106"/>
      <c r="B36" s="239" t="s">
        <v>601</v>
      </c>
      <c r="C36" s="240"/>
      <c r="D36" s="242"/>
      <c r="E36" s="107"/>
      <c r="G36" s="108"/>
      <c r="H36" s="4"/>
      <c r="I36" s="4"/>
      <c r="J36" s="4"/>
      <c r="K36" s="108"/>
      <c r="L36" s="108"/>
      <c r="M36" s="108"/>
      <c r="N36" s="108"/>
      <c r="O36" s="108"/>
      <c r="P36" s="109"/>
    </row>
    <row r="37" spans="1:16" s="25" customFormat="1" ht="24">
      <c r="A37" s="106">
        <v>22</v>
      </c>
      <c r="B37" s="2" t="s">
        <v>582</v>
      </c>
      <c r="C37" s="214"/>
      <c r="D37" s="13" t="s">
        <v>30</v>
      </c>
      <c r="E37" s="215">
        <v>1</v>
      </c>
      <c r="F37" s="107"/>
      <c r="G37" s="108"/>
      <c r="H37" s="4"/>
      <c r="I37" s="4"/>
      <c r="J37" s="4"/>
      <c r="K37" s="337"/>
      <c r="L37" s="338"/>
      <c r="M37" s="338"/>
      <c r="N37" s="338"/>
      <c r="O37" s="338"/>
      <c r="P37" s="339"/>
    </row>
    <row r="38" spans="1:16" s="25" customFormat="1" ht="14.25">
      <c r="A38" s="106">
        <f t="shared" si="0"/>
        <v>23</v>
      </c>
      <c r="B38" s="49" t="s">
        <v>999</v>
      </c>
      <c r="C38" s="214" t="s">
        <v>591</v>
      </c>
      <c r="D38" s="13" t="s">
        <v>29</v>
      </c>
      <c r="E38" s="215">
        <v>1</v>
      </c>
      <c r="F38" s="107"/>
      <c r="G38" s="108"/>
      <c r="H38" s="4"/>
      <c r="I38" s="129"/>
      <c r="J38" s="4"/>
      <c r="K38" s="337"/>
      <c r="L38" s="338"/>
      <c r="M38" s="338"/>
      <c r="N38" s="338"/>
      <c r="O38" s="338"/>
      <c r="P38" s="339"/>
    </row>
    <row r="39" spans="1:16" s="25" customFormat="1" ht="24">
      <c r="A39" s="106">
        <f t="shared" si="0"/>
        <v>24</v>
      </c>
      <c r="B39" s="2" t="s">
        <v>1001</v>
      </c>
      <c r="C39" s="214" t="s">
        <v>593</v>
      </c>
      <c r="D39" s="13" t="s">
        <v>29</v>
      </c>
      <c r="E39" s="215">
        <v>2</v>
      </c>
      <c r="F39" s="107"/>
      <c r="G39" s="108"/>
      <c r="H39" s="4"/>
      <c r="I39" s="129"/>
      <c r="J39" s="4"/>
      <c r="K39" s="337"/>
      <c r="L39" s="338"/>
      <c r="M39" s="338"/>
      <c r="N39" s="338"/>
      <c r="O39" s="338"/>
      <c r="P39" s="339"/>
    </row>
    <row r="40" spans="1:16" s="25" customFormat="1" ht="24">
      <c r="A40" s="106">
        <f t="shared" si="0"/>
        <v>25</v>
      </c>
      <c r="B40" s="2" t="s">
        <v>996</v>
      </c>
      <c r="C40" s="214" t="s">
        <v>586</v>
      </c>
      <c r="D40" s="13" t="s">
        <v>29</v>
      </c>
      <c r="E40" s="215">
        <v>4</v>
      </c>
      <c r="F40" s="107"/>
      <c r="G40" s="108"/>
      <c r="H40" s="4"/>
      <c r="I40" s="129"/>
      <c r="J40" s="4"/>
      <c r="K40" s="337"/>
      <c r="L40" s="338"/>
      <c r="M40" s="338"/>
      <c r="N40" s="338"/>
      <c r="O40" s="338"/>
      <c r="P40" s="339"/>
    </row>
    <row r="41" spans="1:16" s="25" customFormat="1" ht="24">
      <c r="A41" s="106">
        <f t="shared" si="0"/>
        <v>26</v>
      </c>
      <c r="B41" s="2" t="s">
        <v>1003</v>
      </c>
      <c r="C41" s="214" t="s">
        <v>595</v>
      </c>
      <c r="D41" s="13" t="s">
        <v>29</v>
      </c>
      <c r="E41" s="215">
        <v>5</v>
      </c>
      <c r="F41" s="107"/>
      <c r="G41" s="108"/>
      <c r="H41" s="4"/>
      <c r="I41" s="129"/>
      <c r="J41" s="4"/>
      <c r="K41" s="337"/>
      <c r="L41" s="338"/>
      <c r="M41" s="338"/>
      <c r="N41" s="338"/>
      <c r="O41" s="338"/>
      <c r="P41" s="339"/>
    </row>
    <row r="42" spans="1:16" s="25" customFormat="1" ht="24">
      <c r="A42" s="106">
        <f t="shared" si="0"/>
        <v>27</v>
      </c>
      <c r="B42" s="2" t="s">
        <v>997</v>
      </c>
      <c r="C42" s="214" t="s">
        <v>588</v>
      </c>
      <c r="D42" s="13" t="s">
        <v>29</v>
      </c>
      <c r="E42" s="215">
        <v>5</v>
      </c>
      <c r="F42" s="107"/>
      <c r="G42" s="108"/>
      <c r="H42" s="4"/>
      <c r="I42" s="129"/>
      <c r="J42" s="4"/>
      <c r="K42" s="337"/>
      <c r="L42" s="338"/>
      <c r="M42" s="338"/>
      <c r="N42" s="338"/>
      <c r="O42" s="338"/>
      <c r="P42" s="339"/>
    </row>
    <row r="43" spans="1:16" s="25" customFormat="1" ht="24">
      <c r="A43" s="106">
        <f t="shared" si="0"/>
        <v>28</v>
      </c>
      <c r="B43" s="2" t="s">
        <v>1004</v>
      </c>
      <c r="C43" s="214" t="s">
        <v>598</v>
      </c>
      <c r="D43" s="13" t="s">
        <v>29</v>
      </c>
      <c r="E43" s="215">
        <v>2</v>
      </c>
      <c r="F43" s="107"/>
      <c r="G43" s="108"/>
      <c r="H43" s="4"/>
      <c r="I43" s="129"/>
      <c r="J43" s="4"/>
      <c r="K43" s="337"/>
      <c r="L43" s="338"/>
      <c r="M43" s="338"/>
      <c r="N43" s="338"/>
      <c r="O43" s="338"/>
      <c r="P43" s="339"/>
    </row>
    <row r="44" spans="1:16" s="25" customFormat="1" ht="24">
      <c r="A44" s="106">
        <f t="shared" si="0"/>
        <v>29</v>
      </c>
      <c r="B44" s="2" t="s">
        <v>998</v>
      </c>
      <c r="C44" s="214"/>
      <c r="D44" s="13" t="s">
        <v>30</v>
      </c>
      <c r="E44" s="215">
        <v>1</v>
      </c>
      <c r="F44" s="107"/>
      <c r="G44" s="108"/>
      <c r="H44" s="4"/>
      <c r="I44" s="4"/>
      <c r="J44" s="4"/>
      <c r="K44" s="337"/>
      <c r="L44" s="338"/>
      <c r="M44" s="338"/>
      <c r="N44" s="338"/>
      <c r="O44" s="338"/>
      <c r="P44" s="339"/>
    </row>
    <row r="45" spans="1:16" s="113" customFormat="1" ht="12.75">
      <c r="A45" s="106"/>
      <c r="B45" s="239" t="s">
        <v>602</v>
      </c>
      <c r="C45" s="240"/>
      <c r="D45" s="242"/>
      <c r="E45" s="107"/>
      <c r="G45" s="108"/>
      <c r="H45" s="4"/>
      <c r="I45" s="4"/>
      <c r="J45" s="4"/>
      <c r="K45" s="108"/>
      <c r="L45" s="108"/>
      <c r="M45" s="108"/>
      <c r="N45" s="108"/>
      <c r="O45" s="108"/>
      <c r="P45" s="109"/>
    </row>
    <row r="46" spans="1:16" s="25" customFormat="1" ht="24">
      <c r="A46" s="106">
        <v>30</v>
      </c>
      <c r="B46" s="2" t="s">
        <v>582</v>
      </c>
      <c r="C46" s="214"/>
      <c r="D46" s="13" t="s">
        <v>30</v>
      </c>
      <c r="E46" s="215">
        <v>1</v>
      </c>
      <c r="F46" s="107"/>
      <c r="G46" s="108"/>
      <c r="H46" s="4"/>
      <c r="I46" s="4"/>
      <c r="J46" s="4"/>
      <c r="K46" s="337"/>
      <c r="L46" s="338"/>
      <c r="M46" s="338"/>
      <c r="N46" s="338"/>
      <c r="O46" s="338"/>
      <c r="P46" s="339"/>
    </row>
    <row r="47" spans="1:16" s="25" customFormat="1" ht="14.25">
      <c r="A47" s="106">
        <f t="shared" si="0"/>
        <v>31</v>
      </c>
      <c r="B47" s="49" t="s">
        <v>999</v>
      </c>
      <c r="C47" s="214" t="s">
        <v>591</v>
      </c>
      <c r="D47" s="13" t="s">
        <v>29</v>
      </c>
      <c r="E47" s="215">
        <v>1</v>
      </c>
      <c r="F47" s="107"/>
      <c r="G47" s="108"/>
      <c r="H47" s="4"/>
      <c r="I47" s="129"/>
      <c r="J47" s="4"/>
      <c r="K47" s="337"/>
      <c r="L47" s="338"/>
      <c r="M47" s="338"/>
      <c r="N47" s="338"/>
      <c r="O47" s="338"/>
      <c r="P47" s="339"/>
    </row>
    <row r="48" spans="1:16" s="25" customFormat="1" ht="24">
      <c r="A48" s="106">
        <f t="shared" si="0"/>
        <v>32</v>
      </c>
      <c r="B48" s="2" t="s">
        <v>1001</v>
      </c>
      <c r="C48" s="214" t="s">
        <v>593</v>
      </c>
      <c r="D48" s="13" t="s">
        <v>29</v>
      </c>
      <c r="E48" s="215">
        <v>3</v>
      </c>
      <c r="F48" s="107"/>
      <c r="G48" s="108"/>
      <c r="H48" s="4"/>
      <c r="I48" s="129"/>
      <c r="J48" s="4"/>
      <c r="K48" s="337"/>
      <c r="L48" s="338"/>
      <c r="M48" s="338"/>
      <c r="N48" s="338"/>
      <c r="O48" s="338"/>
      <c r="P48" s="339"/>
    </row>
    <row r="49" spans="1:16" s="25" customFormat="1" ht="24">
      <c r="A49" s="106">
        <f t="shared" si="0"/>
        <v>33</v>
      </c>
      <c r="B49" s="2" t="s">
        <v>996</v>
      </c>
      <c r="C49" s="214" t="s">
        <v>586</v>
      </c>
      <c r="D49" s="13" t="s">
        <v>29</v>
      </c>
      <c r="E49" s="215">
        <v>3</v>
      </c>
      <c r="F49" s="107"/>
      <c r="G49" s="108"/>
      <c r="H49" s="4"/>
      <c r="I49" s="129"/>
      <c r="J49" s="4"/>
      <c r="K49" s="337"/>
      <c r="L49" s="338"/>
      <c r="M49" s="338"/>
      <c r="N49" s="338"/>
      <c r="O49" s="338"/>
      <c r="P49" s="339"/>
    </row>
    <row r="50" spans="1:16" s="25" customFormat="1" ht="24">
      <c r="A50" s="106">
        <f t="shared" si="0"/>
        <v>34</v>
      </c>
      <c r="B50" s="2" t="s">
        <v>1003</v>
      </c>
      <c r="C50" s="214" t="s">
        <v>595</v>
      </c>
      <c r="D50" s="13" t="s">
        <v>29</v>
      </c>
      <c r="E50" s="215">
        <v>4</v>
      </c>
      <c r="F50" s="107"/>
      <c r="G50" s="108"/>
      <c r="H50" s="4"/>
      <c r="I50" s="129"/>
      <c r="J50" s="4"/>
      <c r="K50" s="337"/>
      <c r="L50" s="338"/>
      <c r="M50" s="338"/>
      <c r="N50" s="338"/>
      <c r="O50" s="338"/>
      <c r="P50" s="339"/>
    </row>
    <row r="51" spans="1:16" s="25" customFormat="1" ht="24">
      <c r="A51" s="106">
        <f t="shared" si="0"/>
        <v>35</v>
      </c>
      <c r="B51" s="2" t="s">
        <v>1007</v>
      </c>
      <c r="C51" s="214" t="s">
        <v>603</v>
      </c>
      <c r="D51" s="13" t="s">
        <v>29</v>
      </c>
      <c r="E51" s="215">
        <v>4</v>
      </c>
      <c r="F51" s="107"/>
      <c r="G51" s="108"/>
      <c r="H51" s="4"/>
      <c r="I51" s="129"/>
      <c r="J51" s="4"/>
      <c r="K51" s="337"/>
      <c r="L51" s="338"/>
      <c r="M51" s="338"/>
      <c r="N51" s="338"/>
      <c r="O51" s="338"/>
      <c r="P51" s="339"/>
    </row>
    <row r="52" spans="1:16" s="25" customFormat="1" ht="24">
      <c r="A52" s="106">
        <f t="shared" si="0"/>
        <v>36</v>
      </c>
      <c r="B52" s="2" t="s">
        <v>997</v>
      </c>
      <c r="C52" s="214" t="s">
        <v>588</v>
      </c>
      <c r="D52" s="13" t="s">
        <v>29</v>
      </c>
      <c r="E52" s="215">
        <v>4</v>
      </c>
      <c r="F52" s="107"/>
      <c r="G52" s="108"/>
      <c r="H52" s="4"/>
      <c r="I52" s="129"/>
      <c r="J52" s="4"/>
      <c r="K52" s="337"/>
      <c r="L52" s="338"/>
      <c r="M52" s="338"/>
      <c r="N52" s="338"/>
      <c r="O52" s="338"/>
      <c r="P52" s="339"/>
    </row>
    <row r="53" spans="1:16" s="25" customFormat="1" ht="24">
      <c r="A53" s="106">
        <f t="shared" si="0"/>
        <v>37</v>
      </c>
      <c r="B53" s="2" t="s">
        <v>998</v>
      </c>
      <c r="C53" s="214"/>
      <c r="D53" s="13" t="s">
        <v>30</v>
      </c>
      <c r="E53" s="215">
        <v>1</v>
      </c>
      <c r="F53" s="107"/>
      <c r="G53" s="108"/>
      <c r="H53" s="4"/>
      <c r="I53" s="4"/>
      <c r="J53" s="4"/>
      <c r="K53" s="337"/>
      <c r="L53" s="338"/>
      <c r="M53" s="338"/>
      <c r="N53" s="338"/>
      <c r="O53" s="338"/>
      <c r="P53" s="339"/>
    </row>
    <row r="54" spans="1:16" s="113" customFormat="1" ht="12.75">
      <c r="A54" s="106"/>
      <c r="B54" s="239" t="s">
        <v>604</v>
      </c>
      <c r="C54" s="240"/>
      <c r="D54" s="242"/>
      <c r="E54" s="107"/>
      <c r="G54" s="108"/>
      <c r="H54" s="4"/>
      <c r="I54" s="4"/>
      <c r="J54" s="4"/>
      <c r="K54" s="108"/>
      <c r="L54" s="108"/>
      <c r="M54" s="108"/>
      <c r="N54" s="108"/>
      <c r="O54" s="108"/>
      <c r="P54" s="109"/>
    </row>
    <row r="55" spans="1:16" s="25" customFormat="1" ht="24">
      <c r="A55" s="106">
        <v>38</v>
      </c>
      <c r="B55" s="2" t="s">
        <v>582</v>
      </c>
      <c r="C55" s="214"/>
      <c r="D55" s="13" t="s">
        <v>30</v>
      </c>
      <c r="E55" s="215">
        <v>1</v>
      </c>
      <c r="F55" s="107"/>
      <c r="G55" s="108"/>
      <c r="H55" s="4"/>
      <c r="I55" s="4"/>
      <c r="J55" s="4"/>
      <c r="K55" s="337"/>
      <c r="L55" s="338"/>
      <c r="M55" s="338"/>
      <c r="N55" s="338"/>
      <c r="O55" s="338"/>
      <c r="P55" s="339"/>
    </row>
    <row r="56" spans="1:16" s="25" customFormat="1" ht="14.25">
      <c r="A56" s="106">
        <f t="shared" si="0"/>
        <v>39</v>
      </c>
      <c r="B56" s="49" t="s">
        <v>999</v>
      </c>
      <c r="C56" s="214" t="s">
        <v>591</v>
      </c>
      <c r="D56" s="13" t="s">
        <v>29</v>
      </c>
      <c r="E56" s="215">
        <v>1</v>
      </c>
      <c r="F56" s="107"/>
      <c r="G56" s="108"/>
      <c r="H56" s="4"/>
      <c r="I56" s="129"/>
      <c r="J56" s="4"/>
      <c r="K56" s="337"/>
      <c r="L56" s="338"/>
      <c r="M56" s="338"/>
      <c r="N56" s="338"/>
      <c r="O56" s="338"/>
      <c r="P56" s="339"/>
    </row>
    <row r="57" spans="1:16" s="25" customFormat="1" ht="24">
      <c r="A57" s="106">
        <f t="shared" si="0"/>
        <v>40</v>
      </c>
      <c r="B57" s="2" t="s">
        <v>996</v>
      </c>
      <c r="C57" s="214" t="s">
        <v>586</v>
      </c>
      <c r="D57" s="13" t="s">
        <v>29</v>
      </c>
      <c r="E57" s="215">
        <v>1</v>
      </c>
      <c r="F57" s="107"/>
      <c r="G57" s="108"/>
      <c r="H57" s="4"/>
      <c r="I57" s="129"/>
      <c r="J57" s="4"/>
      <c r="K57" s="337"/>
      <c r="L57" s="338"/>
      <c r="M57" s="338"/>
      <c r="N57" s="338"/>
      <c r="O57" s="338"/>
      <c r="P57" s="339"/>
    </row>
    <row r="58" spans="1:16" s="25" customFormat="1" ht="24">
      <c r="A58" s="106">
        <f t="shared" si="0"/>
        <v>41</v>
      </c>
      <c r="B58" s="2" t="s">
        <v>1003</v>
      </c>
      <c r="C58" s="214" t="s">
        <v>595</v>
      </c>
      <c r="D58" s="13" t="s">
        <v>29</v>
      </c>
      <c r="E58" s="215">
        <v>4</v>
      </c>
      <c r="F58" s="107"/>
      <c r="G58" s="108"/>
      <c r="H58" s="4"/>
      <c r="I58" s="129"/>
      <c r="J58" s="4"/>
      <c r="K58" s="337"/>
      <c r="L58" s="338"/>
      <c r="M58" s="338"/>
      <c r="N58" s="338"/>
      <c r="O58" s="338"/>
      <c r="P58" s="339"/>
    </row>
    <row r="59" spans="1:16" s="25" customFormat="1" ht="24">
      <c r="A59" s="106">
        <f t="shared" si="0"/>
        <v>42</v>
      </c>
      <c r="B59" s="2" t="s">
        <v>997</v>
      </c>
      <c r="C59" s="214" t="s">
        <v>588</v>
      </c>
      <c r="D59" s="13" t="s">
        <v>29</v>
      </c>
      <c r="E59" s="215">
        <v>6</v>
      </c>
      <c r="F59" s="107"/>
      <c r="G59" s="108"/>
      <c r="H59" s="4"/>
      <c r="I59" s="129"/>
      <c r="J59" s="4"/>
      <c r="K59" s="337"/>
      <c r="L59" s="338"/>
      <c r="M59" s="338"/>
      <c r="N59" s="338"/>
      <c r="O59" s="338"/>
      <c r="P59" s="339"/>
    </row>
    <row r="60" spans="1:16" s="25" customFormat="1" ht="24">
      <c r="A60" s="106">
        <f t="shared" si="0"/>
        <v>43</v>
      </c>
      <c r="B60" s="2" t="s">
        <v>1004</v>
      </c>
      <c r="C60" s="214" t="s">
        <v>598</v>
      </c>
      <c r="D60" s="13" t="s">
        <v>29</v>
      </c>
      <c r="E60" s="215">
        <v>3</v>
      </c>
      <c r="F60" s="107"/>
      <c r="G60" s="108"/>
      <c r="H60" s="4"/>
      <c r="I60" s="129"/>
      <c r="J60" s="4"/>
      <c r="K60" s="337"/>
      <c r="L60" s="338"/>
      <c r="M60" s="338"/>
      <c r="N60" s="338"/>
      <c r="O60" s="338"/>
      <c r="P60" s="339"/>
    </row>
    <row r="61" spans="1:16" s="25" customFormat="1" ht="24">
      <c r="A61" s="106">
        <f t="shared" si="0"/>
        <v>44</v>
      </c>
      <c r="B61" s="2" t="s">
        <v>1008</v>
      </c>
      <c r="C61" s="214" t="s">
        <v>605</v>
      </c>
      <c r="D61" s="13" t="s">
        <v>29</v>
      </c>
      <c r="E61" s="215">
        <v>2</v>
      </c>
      <c r="F61" s="107"/>
      <c r="G61" s="108"/>
      <c r="H61" s="4"/>
      <c r="I61" s="129"/>
      <c r="J61" s="4"/>
      <c r="K61" s="337"/>
      <c r="L61" s="338"/>
      <c r="M61" s="338"/>
      <c r="N61" s="338"/>
      <c r="O61" s="338"/>
      <c r="P61" s="339"/>
    </row>
    <row r="62" spans="1:16" s="25" customFormat="1" ht="24">
      <c r="A62" s="106">
        <f t="shared" si="0"/>
        <v>45</v>
      </c>
      <c r="B62" s="2" t="s">
        <v>998</v>
      </c>
      <c r="C62" s="214"/>
      <c r="D62" s="13" t="s">
        <v>30</v>
      </c>
      <c r="E62" s="215">
        <v>1</v>
      </c>
      <c r="F62" s="107"/>
      <c r="G62" s="108"/>
      <c r="H62" s="4"/>
      <c r="I62" s="4"/>
      <c r="J62" s="4"/>
      <c r="K62" s="337"/>
      <c r="L62" s="338"/>
      <c r="M62" s="338"/>
      <c r="N62" s="338"/>
      <c r="O62" s="338"/>
      <c r="P62" s="339"/>
    </row>
    <row r="63" spans="1:16" s="113" customFormat="1" ht="12.75">
      <c r="A63" s="106"/>
      <c r="B63" s="239" t="s">
        <v>606</v>
      </c>
      <c r="C63" s="240"/>
      <c r="D63" s="242"/>
      <c r="E63" s="107"/>
      <c r="G63" s="108"/>
      <c r="H63" s="4"/>
      <c r="I63" s="4"/>
      <c r="J63" s="4"/>
      <c r="K63" s="108"/>
      <c r="L63" s="108"/>
      <c r="M63" s="108"/>
      <c r="N63" s="108"/>
      <c r="O63" s="108"/>
      <c r="P63" s="109"/>
    </row>
    <row r="64" spans="1:16" s="25" customFormat="1" ht="24">
      <c r="A64" s="106">
        <v>46</v>
      </c>
      <c r="B64" s="2" t="s">
        <v>582</v>
      </c>
      <c r="C64" s="214"/>
      <c r="D64" s="13" t="s">
        <v>30</v>
      </c>
      <c r="E64" s="215">
        <v>1</v>
      </c>
      <c r="F64" s="107"/>
      <c r="G64" s="108"/>
      <c r="H64" s="4"/>
      <c r="I64" s="4"/>
      <c r="J64" s="4"/>
      <c r="K64" s="337"/>
      <c r="L64" s="338"/>
      <c r="M64" s="338"/>
      <c r="N64" s="338"/>
      <c r="O64" s="338"/>
      <c r="P64" s="339"/>
    </row>
    <row r="65" spans="1:16" s="25" customFormat="1" ht="14.25">
      <c r="A65" s="106">
        <f t="shared" si="0"/>
        <v>47</v>
      </c>
      <c r="B65" s="49" t="s">
        <v>999</v>
      </c>
      <c r="C65" s="214" t="s">
        <v>591</v>
      </c>
      <c r="D65" s="13" t="s">
        <v>29</v>
      </c>
      <c r="E65" s="215">
        <v>1</v>
      </c>
      <c r="F65" s="107"/>
      <c r="G65" s="108"/>
      <c r="H65" s="4"/>
      <c r="I65" s="129"/>
      <c r="J65" s="4"/>
      <c r="K65" s="337"/>
      <c r="L65" s="338"/>
      <c r="M65" s="338"/>
      <c r="N65" s="338"/>
      <c r="O65" s="338"/>
      <c r="P65" s="339"/>
    </row>
    <row r="66" spans="1:16" s="25" customFormat="1" ht="24">
      <c r="A66" s="106">
        <f t="shared" si="0"/>
        <v>48</v>
      </c>
      <c r="B66" s="2" t="s">
        <v>996</v>
      </c>
      <c r="C66" s="214" t="s">
        <v>586</v>
      </c>
      <c r="D66" s="13" t="s">
        <v>29</v>
      </c>
      <c r="E66" s="215">
        <v>1</v>
      </c>
      <c r="F66" s="107"/>
      <c r="G66" s="108"/>
      <c r="H66" s="4"/>
      <c r="I66" s="129"/>
      <c r="J66" s="4"/>
      <c r="K66" s="337"/>
      <c r="L66" s="338"/>
      <c r="M66" s="338"/>
      <c r="N66" s="338"/>
      <c r="O66" s="338"/>
      <c r="P66" s="339"/>
    </row>
    <row r="67" spans="1:16" s="25" customFormat="1" ht="24">
      <c r="A67" s="106">
        <f t="shared" si="0"/>
        <v>49</v>
      </c>
      <c r="B67" s="2" t="s">
        <v>1003</v>
      </c>
      <c r="C67" s="214" t="s">
        <v>607</v>
      </c>
      <c r="D67" s="13" t="s">
        <v>29</v>
      </c>
      <c r="E67" s="215">
        <v>3</v>
      </c>
      <c r="F67" s="107"/>
      <c r="G67" s="108"/>
      <c r="H67" s="4"/>
      <c r="I67" s="129"/>
      <c r="J67" s="4"/>
      <c r="K67" s="337"/>
      <c r="L67" s="338"/>
      <c r="M67" s="338"/>
      <c r="N67" s="338"/>
      <c r="O67" s="338"/>
      <c r="P67" s="339"/>
    </row>
    <row r="68" spans="1:16" s="25" customFormat="1" ht="24">
      <c r="A68" s="106">
        <f t="shared" si="0"/>
        <v>50</v>
      </c>
      <c r="B68" s="2" t="s">
        <v>1007</v>
      </c>
      <c r="C68" s="214" t="s">
        <v>603</v>
      </c>
      <c r="D68" s="13" t="s">
        <v>29</v>
      </c>
      <c r="E68" s="215">
        <v>2</v>
      </c>
      <c r="F68" s="107"/>
      <c r="G68" s="108"/>
      <c r="H68" s="4"/>
      <c r="I68" s="129"/>
      <c r="J68" s="4"/>
      <c r="K68" s="337"/>
      <c r="L68" s="338"/>
      <c r="M68" s="338"/>
      <c r="N68" s="338"/>
      <c r="O68" s="338"/>
      <c r="P68" s="339"/>
    </row>
    <row r="69" spans="1:16" s="25" customFormat="1" ht="24">
      <c r="A69" s="106">
        <f t="shared" si="0"/>
        <v>51</v>
      </c>
      <c r="B69" s="2" t="s">
        <v>997</v>
      </c>
      <c r="C69" s="214" t="s">
        <v>588</v>
      </c>
      <c r="D69" s="13" t="s">
        <v>29</v>
      </c>
      <c r="E69" s="215">
        <v>2</v>
      </c>
      <c r="F69" s="107"/>
      <c r="G69" s="108"/>
      <c r="H69" s="4"/>
      <c r="I69" s="129"/>
      <c r="J69" s="4"/>
      <c r="K69" s="337"/>
      <c r="L69" s="338"/>
      <c r="M69" s="338"/>
      <c r="N69" s="338"/>
      <c r="O69" s="338"/>
      <c r="P69" s="339"/>
    </row>
    <row r="70" spans="1:16" s="25" customFormat="1" ht="24">
      <c r="A70" s="106">
        <f t="shared" si="0"/>
        <v>52</v>
      </c>
      <c r="B70" s="2" t="s">
        <v>1004</v>
      </c>
      <c r="C70" s="214" t="s">
        <v>598</v>
      </c>
      <c r="D70" s="13" t="s">
        <v>29</v>
      </c>
      <c r="E70" s="215">
        <v>5</v>
      </c>
      <c r="F70" s="107"/>
      <c r="G70" s="108"/>
      <c r="H70" s="4"/>
      <c r="I70" s="129"/>
      <c r="J70" s="4"/>
      <c r="K70" s="337"/>
      <c r="L70" s="338"/>
      <c r="M70" s="338"/>
      <c r="N70" s="338"/>
      <c r="O70" s="338"/>
      <c r="P70" s="339"/>
    </row>
    <row r="71" spans="1:16" s="25" customFormat="1" ht="24">
      <c r="A71" s="106">
        <f t="shared" si="0"/>
        <v>53</v>
      </c>
      <c r="B71" s="2" t="s">
        <v>998</v>
      </c>
      <c r="C71" s="214"/>
      <c r="D71" s="13" t="s">
        <v>30</v>
      </c>
      <c r="E71" s="215">
        <v>1</v>
      </c>
      <c r="F71" s="107"/>
      <c r="G71" s="108"/>
      <c r="H71" s="4"/>
      <c r="I71" s="4"/>
      <c r="J71" s="4"/>
      <c r="K71" s="337"/>
      <c r="L71" s="338"/>
      <c r="M71" s="338"/>
      <c r="N71" s="338"/>
      <c r="O71" s="338"/>
      <c r="P71" s="339"/>
    </row>
    <row r="72" spans="1:16" s="113" customFormat="1" ht="12.75">
      <c r="A72" s="106"/>
      <c r="B72" s="239" t="s">
        <v>1009</v>
      </c>
      <c r="C72" s="240"/>
      <c r="D72" s="242"/>
      <c r="E72" s="107"/>
      <c r="G72" s="108"/>
      <c r="H72" s="4"/>
      <c r="I72" s="4"/>
      <c r="J72" s="4"/>
      <c r="K72" s="108"/>
      <c r="L72" s="108"/>
      <c r="M72" s="108"/>
      <c r="N72" s="108"/>
      <c r="O72" s="108"/>
      <c r="P72" s="109"/>
    </row>
    <row r="73" spans="1:16" s="25" customFormat="1" ht="36">
      <c r="A73" s="106">
        <v>54</v>
      </c>
      <c r="B73" s="2" t="s">
        <v>1125</v>
      </c>
      <c r="C73" s="214"/>
      <c r="D73" s="13" t="s">
        <v>30</v>
      </c>
      <c r="E73" s="215">
        <v>1</v>
      </c>
      <c r="F73" s="107"/>
      <c r="G73" s="108"/>
      <c r="H73" s="4"/>
      <c r="I73" s="4"/>
      <c r="J73" s="4"/>
      <c r="K73" s="337"/>
      <c r="L73" s="338"/>
      <c r="M73" s="338"/>
      <c r="N73" s="338"/>
      <c r="O73" s="338"/>
      <c r="P73" s="339"/>
    </row>
    <row r="74" spans="1:16" s="25" customFormat="1" ht="14.25">
      <c r="A74" s="106">
        <f t="shared" si="0"/>
        <v>55</v>
      </c>
      <c r="B74" s="49" t="s">
        <v>999</v>
      </c>
      <c r="C74" s="214" t="s">
        <v>608</v>
      </c>
      <c r="D74" s="13" t="s">
        <v>29</v>
      </c>
      <c r="E74" s="215">
        <v>2</v>
      </c>
      <c r="F74" s="107"/>
      <c r="G74" s="108"/>
      <c r="H74" s="4"/>
      <c r="I74" s="129"/>
      <c r="J74" s="4"/>
      <c r="K74" s="337"/>
      <c r="L74" s="338"/>
      <c r="M74" s="338"/>
      <c r="N74" s="338"/>
      <c r="O74" s="338"/>
      <c r="P74" s="339"/>
    </row>
    <row r="75" spans="1:16" s="25" customFormat="1" ht="24">
      <c r="A75" s="106">
        <f t="shared" si="0"/>
        <v>56</v>
      </c>
      <c r="B75" s="2" t="s">
        <v>1001</v>
      </c>
      <c r="C75" s="214" t="s">
        <v>609</v>
      </c>
      <c r="D75" s="13" t="s">
        <v>29</v>
      </c>
      <c r="E75" s="215">
        <v>2</v>
      </c>
      <c r="F75" s="107"/>
      <c r="G75" s="108"/>
      <c r="H75" s="4"/>
      <c r="I75" s="129"/>
      <c r="J75" s="4"/>
      <c r="K75" s="337"/>
      <c r="L75" s="338"/>
      <c r="M75" s="338"/>
      <c r="N75" s="338"/>
      <c r="O75" s="338"/>
      <c r="P75" s="339"/>
    </row>
    <row r="76" spans="1:16" s="25" customFormat="1" ht="24">
      <c r="A76" s="106">
        <f t="shared" si="0"/>
        <v>57</v>
      </c>
      <c r="B76" s="2" t="s">
        <v>1010</v>
      </c>
      <c r="C76" s="214" t="s">
        <v>610</v>
      </c>
      <c r="D76" s="13" t="s">
        <v>29</v>
      </c>
      <c r="E76" s="215">
        <v>1</v>
      </c>
      <c r="F76" s="107"/>
      <c r="G76" s="108"/>
      <c r="H76" s="4"/>
      <c r="I76" s="129"/>
      <c r="J76" s="4"/>
      <c r="K76" s="337"/>
      <c r="L76" s="338"/>
      <c r="M76" s="338"/>
      <c r="N76" s="338"/>
      <c r="O76" s="338"/>
      <c r="P76" s="339"/>
    </row>
    <row r="77" spans="1:16" s="25" customFormat="1" ht="24">
      <c r="A77" s="106">
        <f t="shared" si="0"/>
        <v>58</v>
      </c>
      <c r="B77" s="2" t="s">
        <v>1004</v>
      </c>
      <c r="C77" s="214" t="s">
        <v>611</v>
      </c>
      <c r="D77" s="13" t="s">
        <v>29</v>
      </c>
      <c r="E77" s="215">
        <v>1</v>
      </c>
      <c r="F77" s="107"/>
      <c r="G77" s="108"/>
      <c r="H77" s="4"/>
      <c r="I77" s="129"/>
      <c r="J77" s="4"/>
      <c r="K77" s="337"/>
      <c r="L77" s="338"/>
      <c r="M77" s="338"/>
      <c r="N77" s="338"/>
      <c r="O77" s="338"/>
      <c r="P77" s="339"/>
    </row>
    <row r="78" spans="1:16" s="25" customFormat="1" ht="24">
      <c r="A78" s="106">
        <f t="shared" ref="A78:A142" si="1">A77+1</f>
        <v>59</v>
      </c>
      <c r="B78" s="2" t="s">
        <v>1011</v>
      </c>
      <c r="C78" s="214" t="s">
        <v>612</v>
      </c>
      <c r="D78" s="13" t="s">
        <v>29</v>
      </c>
      <c r="E78" s="215">
        <v>2</v>
      </c>
      <c r="F78" s="107"/>
      <c r="G78" s="108"/>
      <c r="H78" s="4"/>
      <c r="I78" s="129"/>
      <c r="J78" s="4"/>
      <c r="K78" s="337"/>
      <c r="L78" s="338"/>
      <c r="M78" s="338"/>
      <c r="N78" s="338"/>
      <c r="O78" s="338"/>
      <c r="P78" s="339"/>
    </row>
    <row r="79" spans="1:16" s="25" customFormat="1" ht="24">
      <c r="A79" s="106">
        <f t="shared" si="1"/>
        <v>60</v>
      </c>
      <c r="B79" s="2" t="s">
        <v>1014</v>
      </c>
      <c r="C79" s="214" t="s">
        <v>613</v>
      </c>
      <c r="D79" s="13" t="s">
        <v>29</v>
      </c>
      <c r="E79" s="215">
        <v>1</v>
      </c>
      <c r="F79" s="107"/>
      <c r="G79" s="108"/>
      <c r="H79" s="4"/>
      <c r="I79" s="129"/>
      <c r="J79" s="4"/>
      <c r="K79" s="337"/>
      <c r="L79" s="338"/>
      <c r="M79" s="338"/>
      <c r="N79" s="338"/>
      <c r="O79" s="338"/>
      <c r="P79" s="339"/>
    </row>
    <row r="80" spans="1:16" s="25" customFormat="1" ht="24">
      <c r="A80" s="106">
        <f t="shared" si="1"/>
        <v>61</v>
      </c>
      <c r="B80" s="2" t="s">
        <v>1013</v>
      </c>
      <c r="C80" s="214" t="s">
        <v>614</v>
      </c>
      <c r="D80" s="13" t="s">
        <v>29</v>
      </c>
      <c r="E80" s="215">
        <v>2</v>
      </c>
      <c r="F80" s="107"/>
      <c r="G80" s="108"/>
      <c r="H80" s="4"/>
      <c r="I80" s="4"/>
      <c r="J80" s="4"/>
      <c r="K80" s="337"/>
      <c r="L80" s="338"/>
      <c r="M80" s="338"/>
      <c r="N80" s="338"/>
      <c r="O80" s="338"/>
      <c r="P80" s="339"/>
    </row>
    <row r="81" spans="1:16" s="25" customFormat="1" ht="14.25">
      <c r="A81" s="106">
        <f t="shared" si="1"/>
        <v>62</v>
      </c>
      <c r="B81" s="2" t="s">
        <v>615</v>
      </c>
      <c r="C81" s="214"/>
      <c r="D81" s="13" t="s">
        <v>29</v>
      </c>
      <c r="E81" s="215">
        <v>1</v>
      </c>
      <c r="F81" s="107"/>
      <c r="G81" s="108"/>
      <c r="H81" s="4"/>
      <c r="I81" s="4"/>
      <c r="J81" s="4"/>
      <c r="K81" s="337"/>
      <c r="L81" s="338"/>
      <c r="M81" s="338"/>
      <c r="N81" s="338"/>
      <c r="O81" s="338"/>
      <c r="P81" s="339"/>
    </row>
    <row r="82" spans="1:16" s="25" customFormat="1" ht="24">
      <c r="A82" s="106">
        <f t="shared" si="1"/>
        <v>63</v>
      </c>
      <c r="B82" s="2" t="s">
        <v>1001</v>
      </c>
      <c r="C82" s="214" t="s">
        <v>609</v>
      </c>
      <c r="D82" s="13" t="s">
        <v>29</v>
      </c>
      <c r="E82" s="215">
        <v>1</v>
      </c>
      <c r="F82" s="107"/>
      <c r="G82" s="108"/>
      <c r="H82" s="4"/>
      <c r="I82" s="129"/>
      <c r="J82" s="4"/>
      <c r="K82" s="337"/>
      <c r="L82" s="338"/>
      <c r="M82" s="338"/>
      <c r="N82" s="338"/>
      <c r="O82" s="338"/>
      <c r="P82" s="339"/>
    </row>
    <row r="83" spans="1:16" s="25" customFormat="1" ht="24">
      <c r="A83" s="106">
        <f t="shared" si="1"/>
        <v>64</v>
      </c>
      <c r="B83" s="2" t="s">
        <v>1003</v>
      </c>
      <c r="C83" s="214" t="s">
        <v>607</v>
      </c>
      <c r="D83" s="13" t="s">
        <v>29</v>
      </c>
      <c r="E83" s="215">
        <v>4</v>
      </c>
      <c r="F83" s="107"/>
      <c r="G83" s="108"/>
      <c r="H83" s="4"/>
      <c r="I83" s="129"/>
      <c r="J83" s="4"/>
      <c r="K83" s="337"/>
      <c r="L83" s="338"/>
      <c r="M83" s="338"/>
      <c r="N83" s="338"/>
      <c r="O83" s="338"/>
      <c r="P83" s="339"/>
    </row>
    <row r="84" spans="1:16" s="25" customFormat="1" ht="24">
      <c r="A84" s="106">
        <f t="shared" si="1"/>
        <v>65</v>
      </c>
      <c r="B84" s="2" t="s">
        <v>997</v>
      </c>
      <c r="C84" s="214" t="s">
        <v>588</v>
      </c>
      <c r="D84" s="13" t="s">
        <v>29</v>
      </c>
      <c r="E84" s="215">
        <v>4</v>
      </c>
      <c r="F84" s="107"/>
      <c r="G84" s="108"/>
      <c r="H84" s="4"/>
      <c r="I84" s="129"/>
      <c r="J84" s="4"/>
      <c r="K84" s="337"/>
      <c r="L84" s="338"/>
      <c r="M84" s="338"/>
      <c r="N84" s="338"/>
      <c r="O84" s="338"/>
      <c r="P84" s="339"/>
    </row>
    <row r="85" spans="1:16" s="25" customFormat="1" ht="24">
      <c r="A85" s="106">
        <f t="shared" si="1"/>
        <v>66</v>
      </c>
      <c r="B85" s="2" t="s">
        <v>1012</v>
      </c>
      <c r="C85" s="214"/>
      <c r="D85" s="13" t="s">
        <v>30</v>
      </c>
      <c r="E85" s="215">
        <v>1</v>
      </c>
      <c r="F85" s="107"/>
      <c r="G85" s="108"/>
      <c r="H85" s="4"/>
      <c r="I85" s="4"/>
      <c r="J85" s="4"/>
      <c r="K85" s="337"/>
      <c r="L85" s="338"/>
      <c r="M85" s="338"/>
      <c r="N85" s="338"/>
      <c r="O85" s="338"/>
      <c r="P85" s="339"/>
    </row>
    <row r="86" spans="1:16" s="25" customFormat="1" ht="14.25">
      <c r="A86" s="106">
        <f t="shared" si="1"/>
        <v>67</v>
      </c>
      <c r="B86" s="2" t="s">
        <v>1348</v>
      </c>
      <c r="C86" s="214"/>
      <c r="D86" s="13" t="s">
        <v>30</v>
      </c>
      <c r="E86" s="215">
        <v>1</v>
      </c>
      <c r="F86" s="107"/>
      <c r="G86" s="108"/>
      <c r="H86" s="4"/>
      <c r="I86" s="4"/>
      <c r="J86" s="4"/>
      <c r="K86" s="337"/>
      <c r="L86" s="338"/>
      <c r="M86" s="338"/>
      <c r="N86" s="338"/>
      <c r="O86" s="338"/>
      <c r="P86" s="339"/>
    </row>
    <row r="87" spans="1:16" s="113" customFormat="1" ht="12.75">
      <c r="A87" s="106"/>
      <c r="B87" s="239" t="s">
        <v>616</v>
      </c>
      <c r="C87" s="240"/>
      <c r="D87" s="242"/>
      <c r="E87" s="107"/>
      <c r="G87" s="108"/>
      <c r="H87" s="4"/>
      <c r="I87" s="4"/>
      <c r="J87" s="4"/>
      <c r="K87" s="108"/>
      <c r="L87" s="108"/>
      <c r="M87" s="108"/>
      <c r="N87" s="108"/>
      <c r="O87" s="108"/>
      <c r="P87" s="109"/>
    </row>
    <row r="88" spans="1:16" s="25" customFormat="1" ht="36">
      <c r="A88" s="106">
        <v>68</v>
      </c>
      <c r="B88" s="2" t="s">
        <v>1124</v>
      </c>
      <c r="C88" s="214"/>
      <c r="D88" s="13" t="s">
        <v>30</v>
      </c>
      <c r="E88" s="215">
        <v>1</v>
      </c>
      <c r="F88" s="107"/>
      <c r="G88" s="108"/>
      <c r="H88" s="4"/>
      <c r="I88" s="4"/>
      <c r="J88" s="4"/>
      <c r="K88" s="337"/>
      <c r="L88" s="338"/>
      <c r="M88" s="338"/>
      <c r="N88" s="338"/>
      <c r="O88" s="338"/>
      <c r="P88" s="339"/>
    </row>
    <row r="89" spans="1:16" s="25" customFormat="1" ht="14.25">
      <c r="A89" s="106">
        <f t="shared" si="1"/>
        <v>69</v>
      </c>
      <c r="B89" s="49" t="s">
        <v>999</v>
      </c>
      <c r="C89" s="214" t="s">
        <v>608</v>
      </c>
      <c r="D89" s="13" t="s">
        <v>29</v>
      </c>
      <c r="E89" s="215">
        <v>1</v>
      </c>
      <c r="F89" s="107"/>
      <c r="G89" s="108"/>
      <c r="H89" s="4"/>
      <c r="I89" s="129"/>
      <c r="J89" s="4"/>
      <c r="K89" s="337"/>
      <c r="L89" s="338"/>
      <c r="M89" s="338"/>
      <c r="N89" s="338"/>
      <c r="O89" s="338"/>
      <c r="P89" s="339"/>
    </row>
    <row r="90" spans="1:16" s="25" customFormat="1" ht="24">
      <c r="A90" s="106">
        <f t="shared" si="1"/>
        <v>70</v>
      </c>
      <c r="B90" s="2" t="s">
        <v>1000</v>
      </c>
      <c r="C90" s="214" t="s">
        <v>609</v>
      </c>
      <c r="D90" s="13" t="s">
        <v>29</v>
      </c>
      <c r="E90" s="215">
        <v>1</v>
      </c>
      <c r="F90" s="107"/>
      <c r="G90" s="108"/>
      <c r="H90" s="4"/>
      <c r="I90" s="129"/>
      <c r="J90" s="4"/>
      <c r="K90" s="337"/>
      <c r="L90" s="338"/>
      <c r="M90" s="338"/>
      <c r="N90" s="338"/>
      <c r="O90" s="338"/>
      <c r="P90" s="339"/>
    </row>
    <row r="91" spans="1:16" s="25" customFormat="1" ht="24">
      <c r="A91" s="106">
        <f t="shared" si="1"/>
        <v>71</v>
      </c>
      <c r="B91" s="2" t="s">
        <v>1001</v>
      </c>
      <c r="C91" s="214" t="s">
        <v>609</v>
      </c>
      <c r="D91" s="13" t="s">
        <v>29</v>
      </c>
      <c r="E91" s="215">
        <v>7</v>
      </c>
      <c r="F91" s="107"/>
      <c r="G91" s="108"/>
      <c r="H91" s="4"/>
      <c r="I91" s="129"/>
      <c r="J91" s="4"/>
      <c r="K91" s="337"/>
      <c r="L91" s="338"/>
      <c r="M91" s="338"/>
      <c r="N91" s="338"/>
      <c r="O91" s="338"/>
      <c r="P91" s="339"/>
    </row>
    <row r="92" spans="1:16" s="25" customFormat="1" ht="24">
      <c r="A92" s="106">
        <f t="shared" si="1"/>
        <v>72</v>
      </c>
      <c r="B92" s="2" t="s">
        <v>1003</v>
      </c>
      <c r="C92" s="214" t="s">
        <v>607</v>
      </c>
      <c r="D92" s="13" t="s">
        <v>29</v>
      </c>
      <c r="E92" s="215">
        <v>2</v>
      </c>
      <c r="F92" s="107"/>
      <c r="G92" s="108"/>
      <c r="H92" s="4"/>
      <c r="I92" s="129"/>
      <c r="J92" s="4"/>
      <c r="K92" s="337"/>
      <c r="L92" s="338"/>
      <c r="M92" s="338"/>
      <c r="N92" s="338"/>
      <c r="O92" s="338"/>
      <c r="P92" s="339"/>
    </row>
    <row r="93" spans="1:16" s="25" customFormat="1" ht="24">
      <c r="A93" s="106">
        <f t="shared" si="1"/>
        <v>73</v>
      </c>
      <c r="B93" s="2" t="s">
        <v>997</v>
      </c>
      <c r="C93" s="214" t="s">
        <v>588</v>
      </c>
      <c r="D93" s="13" t="s">
        <v>29</v>
      </c>
      <c r="E93" s="215">
        <v>6</v>
      </c>
      <c r="F93" s="107"/>
      <c r="G93" s="108"/>
      <c r="H93" s="4"/>
      <c r="I93" s="129"/>
      <c r="J93" s="4"/>
      <c r="K93" s="337"/>
      <c r="L93" s="338"/>
      <c r="M93" s="338"/>
      <c r="N93" s="338"/>
      <c r="O93" s="338"/>
      <c r="P93" s="339"/>
    </row>
    <row r="94" spans="1:16" s="25" customFormat="1" ht="24">
      <c r="A94" s="106">
        <f t="shared" si="1"/>
        <v>74</v>
      </c>
      <c r="B94" s="2" t="s">
        <v>1004</v>
      </c>
      <c r="C94" s="214" t="s">
        <v>611</v>
      </c>
      <c r="D94" s="13" t="s">
        <v>29</v>
      </c>
      <c r="E94" s="215">
        <v>7</v>
      </c>
      <c r="F94" s="107"/>
      <c r="G94" s="108"/>
      <c r="H94" s="4"/>
      <c r="I94" s="129"/>
      <c r="J94" s="4"/>
      <c r="K94" s="337"/>
      <c r="L94" s="338"/>
      <c r="M94" s="338"/>
      <c r="N94" s="338"/>
      <c r="O94" s="338"/>
      <c r="P94" s="339"/>
    </row>
    <row r="95" spans="1:16" s="25" customFormat="1" ht="24">
      <c r="A95" s="106">
        <f t="shared" si="1"/>
        <v>75</v>
      </c>
      <c r="B95" s="2" t="s">
        <v>1006</v>
      </c>
      <c r="C95" s="214" t="s">
        <v>600</v>
      </c>
      <c r="D95" s="13" t="s">
        <v>29</v>
      </c>
      <c r="E95" s="215">
        <v>6</v>
      </c>
      <c r="F95" s="107"/>
      <c r="G95" s="108"/>
      <c r="H95" s="4"/>
      <c r="I95" s="129"/>
      <c r="J95" s="4"/>
      <c r="K95" s="337"/>
      <c r="L95" s="338"/>
      <c r="M95" s="338"/>
      <c r="N95" s="338"/>
      <c r="O95" s="338"/>
      <c r="P95" s="339"/>
    </row>
    <row r="96" spans="1:16" s="25" customFormat="1" ht="24">
      <c r="A96" s="106">
        <f t="shared" si="1"/>
        <v>76</v>
      </c>
      <c r="B96" s="2" t="s">
        <v>1008</v>
      </c>
      <c r="C96" s="214" t="s">
        <v>605</v>
      </c>
      <c r="D96" s="13" t="s">
        <v>29</v>
      </c>
      <c r="E96" s="215">
        <v>3</v>
      </c>
      <c r="F96" s="107"/>
      <c r="G96" s="108"/>
      <c r="H96" s="4"/>
      <c r="I96" s="129"/>
      <c r="J96" s="4"/>
      <c r="K96" s="337"/>
      <c r="L96" s="338"/>
      <c r="M96" s="338"/>
      <c r="N96" s="338"/>
      <c r="O96" s="338"/>
      <c r="P96" s="339"/>
    </row>
    <row r="97" spans="1:16" s="25" customFormat="1" ht="24">
      <c r="A97" s="106">
        <f t="shared" si="1"/>
        <v>77</v>
      </c>
      <c r="B97" s="2" t="s">
        <v>1015</v>
      </c>
      <c r="C97" s="214" t="s">
        <v>617</v>
      </c>
      <c r="D97" s="13" t="s">
        <v>30</v>
      </c>
      <c r="E97" s="215">
        <v>1</v>
      </c>
      <c r="F97" s="107"/>
      <c r="G97" s="108"/>
      <c r="H97" s="4"/>
      <c r="I97" s="129"/>
      <c r="J97" s="4"/>
      <c r="K97" s="337"/>
      <c r="L97" s="338"/>
      <c r="M97" s="338"/>
      <c r="N97" s="338"/>
      <c r="O97" s="338"/>
      <c r="P97" s="339"/>
    </row>
    <row r="98" spans="1:16" s="25" customFormat="1" ht="24">
      <c r="A98" s="106">
        <f t="shared" si="1"/>
        <v>78</v>
      </c>
      <c r="B98" s="2" t="s">
        <v>998</v>
      </c>
      <c r="C98" s="214"/>
      <c r="D98" s="13" t="s">
        <v>30</v>
      </c>
      <c r="E98" s="215">
        <v>1</v>
      </c>
      <c r="F98" s="107"/>
      <c r="G98" s="108"/>
      <c r="H98" s="4"/>
      <c r="I98" s="4"/>
      <c r="J98" s="4"/>
      <c r="K98" s="337"/>
      <c r="L98" s="338"/>
      <c r="M98" s="338"/>
      <c r="N98" s="338"/>
      <c r="O98" s="338"/>
      <c r="P98" s="339"/>
    </row>
    <row r="99" spans="1:16" s="113" customFormat="1" ht="12.75">
      <c r="A99" s="106"/>
      <c r="B99" s="239" t="s">
        <v>618</v>
      </c>
      <c r="C99" s="240"/>
      <c r="D99" s="242"/>
      <c r="E99" s="107"/>
      <c r="G99" s="108"/>
      <c r="H99" s="4"/>
      <c r="I99" s="4"/>
      <c r="J99" s="4"/>
      <c r="K99" s="108"/>
      <c r="L99" s="108"/>
      <c r="M99" s="108"/>
      <c r="N99" s="108"/>
      <c r="O99" s="108"/>
      <c r="P99" s="109"/>
    </row>
    <row r="100" spans="1:16" s="25" customFormat="1" ht="24">
      <c r="A100" s="106">
        <v>79</v>
      </c>
      <c r="B100" s="2" t="s">
        <v>1123</v>
      </c>
      <c r="C100" s="214"/>
      <c r="D100" s="13" t="s">
        <v>30</v>
      </c>
      <c r="E100" s="215">
        <v>1</v>
      </c>
      <c r="F100" s="107"/>
      <c r="G100" s="108"/>
      <c r="H100" s="4"/>
      <c r="I100" s="4"/>
      <c r="J100" s="4"/>
      <c r="K100" s="337"/>
      <c r="L100" s="338"/>
      <c r="M100" s="338"/>
      <c r="N100" s="338"/>
      <c r="O100" s="338"/>
      <c r="P100" s="339"/>
    </row>
    <row r="101" spans="1:16" s="25" customFormat="1" ht="14.25">
      <c r="A101" s="106">
        <f t="shared" si="1"/>
        <v>80</v>
      </c>
      <c r="B101" s="49" t="s">
        <v>999</v>
      </c>
      <c r="C101" s="214" t="s">
        <v>608</v>
      </c>
      <c r="D101" s="13" t="s">
        <v>29</v>
      </c>
      <c r="E101" s="215">
        <v>1</v>
      </c>
      <c r="F101" s="107"/>
      <c r="G101" s="108"/>
      <c r="H101" s="4"/>
      <c r="I101" s="129"/>
      <c r="J101" s="4"/>
      <c r="K101" s="337"/>
      <c r="L101" s="338"/>
      <c r="M101" s="338"/>
      <c r="N101" s="338"/>
      <c r="O101" s="338"/>
      <c r="P101" s="339"/>
    </row>
    <row r="102" spans="1:16" s="25" customFormat="1" ht="24">
      <c r="A102" s="106">
        <f t="shared" si="1"/>
        <v>81</v>
      </c>
      <c r="B102" s="2" t="s">
        <v>994</v>
      </c>
      <c r="C102" s="214" t="s">
        <v>619</v>
      </c>
      <c r="D102" s="13" t="s">
        <v>29</v>
      </c>
      <c r="E102" s="215">
        <v>1</v>
      </c>
      <c r="F102" s="107"/>
      <c r="G102" s="108"/>
      <c r="H102" s="4"/>
      <c r="I102" s="129"/>
      <c r="J102" s="4"/>
      <c r="K102" s="337"/>
      <c r="L102" s="338"/>
      <c r="M102" s="338"/>
      <c r="N102" s="338"/>
      <c r="O102" s="338"/>
      <c r="P102" s="339"/>
    </row>
    <row r="103" spans="1:16" s="25" customFormat="1" ht="24">
      <c r="A103" s="106">
        <f t="shared" si="1"/>
        <v>82</v>
      </c>
      <c r="B103" s="2" t="s">
        <v>1001</v>
      </c>
      <c r="C103" s="214" t="s">
        <v>609</v>
      </c>
      <c r="D103" s="13" t="s">
        <v>29</v>
      </c>
      <c r="E103" s="215">
        <v>3</v>
      </c>
      <c r="F103" s="107"/>
      <c r="G103" s="108"/>
      <c r="H103" s="4"/>
      <c r="I103" s="129"/>
      <c r="J103" s="4"/>
      <c r="K103" s="337"/>
      <c r="L103" s="338"/>
      <c r="M103" s="338"/>
      <c r="N103" s="338"/>
      <c r="O103" s="338"/>
      <c r="P103" s="339"/>
    </row>
    <row r="104" spans="1:16" s="25" customFormat="1" ht="24">
      <c r="A104" s="106">
        <f t="shared" si="1"/>
        <v>83</v>
      </c>
      <c r="B104" s="2" t="s">
        <v>997</v>
      </c>
      <c r="C104" s="214" t="s">
        <v>588</v>
      </c>
      <c r="D104" s="13" t="s">
        <v>29</v>
      </c>
      <c r="E104" s="215">
        <v>5</v>
      </c>
      <c r="F104" s="107"/>
      <c r="G104" s="108"/>
      <c r="H104" s="4"/>
      <c r="I104" s="129"/>
      <c r="J104" s="4"/>
      <c r="K104" s="337"/>
      <c r="L104" s="338"/>
      <c r="M104" s="338"/>
      <c r="N104" s="338"/>
      <c r="O104" s="338"/>
      <c r="P104" s="339"/>
    </row>
    <row r="105" spans="1:16" s="25" customFormat="1" ht="24">
      <c r="A105" s="106">
        <f t="shared" si="1"/>
        <v>84</v>
      </c>
      <c r="B105" s="2" t="s">
        <v>1004</v>
      </c>
      <c r="C105" s="214" t="s">
        <v>611</v>
      </c>
      <c r="D105" s="13" t="s">
        <v>29</v>
      </c>
      <c r="E105" s="215">
        <v>1</v>
      </c>
      <c r="F105" s="107"/>
      <c r="G105" s="108"/>
      <c r="H105" s="4"/>
      <c r="I105" s="129"/>
      <c r="J105" s="4"/>
      <c r="K105" s="337"/>
      <c r="L105" s="338"/>
      <c r="M105" s="338"/>
      <c r="N105" s="338"/>
      <c r="O105" s="338"/>
      <c r="P105" s="339"/>
    </row>
    <row r="106" spans="1:16" s="25" customFormat="1" ht="24">
      <c r="A106" s="106">
        <f t="shared" si="1"/>
        <v>85</v>
      </c>
      <c r="B106" s="2" t="s">
        <v>1016</v>
      </c>
      <c r="C106" s="214" t="s">
        <v>612</v>
      </c>
      <c r="D106" s="13" t="s">
        <v>29</v>
      </c>
      <c r="E106" s="215">
        <v>1</v>
      </c>
      <c r="F106" s="107"/>
      <c r="G106" s="108"/>
      <c r="H106" s="4"/>
      <c r="I106" s="129"/>
      <c r="J106" s="4"/>
      <c r="K106" s="337"/>
      <c r="L106" s="338"/>
      <c r="M106" s="338"/>
      <c r="N106" s="338"/>
      <c r="O106" s="338"/>
      <c r="P106" s="339"/>
    </row>
    <row r="107" spans="1:16" s="25" customFormat="1" ht="24">
      <c r="A107" s="106">
        <f t="shared" si="1"/>
        <v>86</v>
      </c>
      <c r="B107" s="2" t="s">
        <v>1006</v>
      </c>
      <c r="C107" s="214" t="s">
        <v>600</v>
      </c>
      <c r="D107" s="13" t="s">
        <v>29</v>
      </c>
      <c r="E107" s="215">
        <v>1</v>
      </c>
      <c r="F107" s="107"/>
      <c r="G107" s="108"/>
      <c r="H107" s="4"/>
      <c r="I107" s="129"/>
      <c r="J107" s="4"/>
      <c r="K107" s="337"/>
      <c r="L107" s="338"/>
      <c r="M107" s="338"/>
      <c r="N107" s="338"/>
      <c r="O107" s="338"/>
      <c r="P107" s="339"/>
    </row>
    <row r="108" spans="1:16" s="25" customFormat="1" ht="24">
      <c r="A108" s="106">
        <f t="shared" si="1"/>
        <v>87</v>
      </c>
      <c r="B108" s="2" t="s">
        <v>1008</v>
      </c>
      <c r="C108" s="214" t="s">
        <v>605</v>
      </c>
      <c r="D108" s="13" t="s">
        <v>29</v>
      </c>
      <c r="E108" s="215">
        <v>3</v>
      </c>
      <c r="F108" s="107"/>
      <c r="G108" s="108"/>
      <c r="H108" s="4"/>
      <c r="I108" s="129"/>
      <c r="J108" s="4"/>
      <c r="K108" s="337"/>
      <c r="L108" s="338"/>
      <c r="M108" s="338"/>
      <c r="N108" s="338"/>
      <c r="O108" s="338"/>
      <c r="P108" s="339"/>
    </row>
    <row r="109" spans="1:16" s="25" customFormat="1" ht="24">
      <c r="A109" s="106">
        <f t="shared" si="1"/>
        <v>88</v>
      </c>
      <c r="B109" s="2" t="s">
        <v>1015</v>
      </c>
      <c r="C109" s="214" t="s">
        <v>617</v>
      </c>
      <c r="D109" s="13" t="s">
        <v>30</v>
      </c>
      <c r="E109" s="215">
        <v>1</v>
      </c>
      <c r="F109" s="107"/>
      <c r="G109" s="108"/>
      <c r="H109" s="4"/>
      <c r="I109" s="129"/>
      <c r="J109" s="4"/>
      <c r="K109" s="337"/>
      <c r="L109" s="338"/>
      <c r="M109" s="338"/>
      <c r="N109" s="338"/>
      <c r="O109" s="338"/>
      <c r="P109" s="339"/>
    </row>
    <row r="110" spans="1:16" s="25" customFormat="1" ht="24">
      <c r="A110" s="106">
        <f t="shared" si="1"/>
        <v>89</v>
      </c>
      <c r="B110" s="2" t="s">
        <v>998</v>
      </c>
      <c r="C110" s="214"/>
      <c r="D110" s="13" t="s">
        <v>30</v>
      </c>
      <c r="E110" s="215">
        <v>1</v>
      </c>
      <c r="F110" s="107"/>
      <c r="G110" s="108"/>
      <c r="H110" s="4"/>
      <c r="I110" s="4"/>
      <c r="J110" s="4"/>
      <c r="K110" s="337"/>
      <c r="L110" s="338"/>
      <c r="M110" s="338"/>
      <c r="N110" s="338"/>
      <c r="O110" s="338"/>
      <c r="P110" s="339"/>
    </row>
    <row r="111" spans="1:16" s="113" customFormat="1" ht="24">
      <c r="A111" s="106"/>
      <c r="B111" s="239" t="s">
        <v>620</v>
      </c>
      <c r="C111" s="240"/>
      <c r="D111" s="242"/>
      <c r="E111" s="107"/>
      <c r="F111" s="107"/>
      <c r="G111" s="108"/>
      <c r="H111" s="4"/>
      <c r="I111" s="4"/>
      <c r="J111" s="4"/>
      <c r="K111" s="108"/>
      <c r="L111" s="108"/>
      <c r="M111" s="108"/>
      <c r="N111" s="108"/>
      <c r="O111" s="108"/>
      <c r="P111" s="109"/>
    </row>
    <row r="112" spans="1:16" s="113" customFormat="1" ht="24">
      <c r="A112" s="106"/>
      <c r="B112" s="239" t="s">
        <v>621</v>
      </c>
      <c r="C112" s="240"/>
      <c r="D112" s="242"/>
      <c r="E112" s="107"/>
      <c r="F112" s="107"/>
      <c r="G112" s="108"/>
      <c r="H112" s="4"/>
      <c r="I112" s="4"/>
      <c r="J112" s="4"/>
      <c r="K112" s="108"/>
      <c r="L112" s="108"/>
      <c r="M112" s="108"/>
      <c r="N112" s="108"/>
      <c r="O112" s="108"/>
      <c r="P112" s="109"/>
    </row>
    <row r="113" spans="1:16" s="25" customFormat="1" ht="14.25">
      <c r="A113" s="106">
        <v>90</v>
      </c>
      <c r="B113" s="2" t="s">
        <v>1115</v>
      </c>
      <c r="C113" s="214" t="s">
        <v>622</v>
      </c>
      <c r="D113" s="13" t="s">
        <v>42</v>
      </c>
      <c r="E113" s="14">
        <v>14</v>
      </c>
      <c r="F113" s="107"/>
      <c r="G113" s="33"/>
      <c r="H113" s="4"/>
      <c r="I113" s="129"/>
      <c r="J113" s="4"/>
      <c r="K113" s="337"/>
      <c r="L113" s="338"/>
      <c r="M113" s="338"/>
      <c r="N113" s="338"/>
      <c r="O113" s="338"/>
      <c r="P113" s="339"/>
    </row>
    <row r="114" spans="1:16" s="25" customFormat="1" ht="14.25">
      <c r="A114" s="106">
        <f t="shared" si="1"/>
        <v>91</v>
      </c>
      <c r="B114" s="2" t="s">
        <v>1116</v>
      </c>
      <c r="C114" s="214" t="s">
        <v>623</v>
      </c>
      <c r="D114" s="13" t="s">
        <v>42</v>
      </c>
      <c r="E114" s="14">
        <v>174</v>
      </c>
      <c r="F114" s="107"/>
      <c r="G114" s="33"/>
      <c r="H114" s="4"/>
      <c r="I114" s="129"/>
      <c r="J114" s="4"/>
      <c r="K114" s="337"/>
      <c r="L114" s="338"/>
      <c r="M114" s="338"/>
      <c r="N114" s="338"/>
      <c r="O114" s="338"/>
      <c r="P114" s="339"/>
    </row>
    <row r="115" spans="1:16" s="25" customFormat="1" ht="14.25">
      <c r="A115" s="106">
        <f t="shared" si="1"/>
        <v>92</v>
      </c>
      <c r="B115" s="2" t="s">
        <v>1117</v>
      </c>
      <c r="C115" s="214" t="s">
        <v>624</v>
      </c>
      <c r="D115" s="13" t="s">
        <v>42</v>
      </c>
      <c r="E115" s="14">
        <v>340</v>
      </c>
      <c r="F115" s="107"/>
      <c r="G115" s="33"/>
      <c r="H115" s="4"/>
      <c r="I115" s="129"/>
      <c r="J115" s="4"/>
      <c r="K115" s="337"/>
      <c r="L115" s="338"/>
      <c r="M115" s="338"/>
      <c r="N115" s="338"/>
      <c r="O115" s="338"/>
      <c r="P115" s="339"/>
    </row>
    <row r="116" spans="1:16" s="25" customFormat="1" ht="14.25">
      <c r="A116" s="106">
        <f t="shared" si="1"/>
        <v>93</v>
      </c>
      <c r="B116" s="2" t="s">
        <v>1118</v>
      </c>
      <c r="C116" s="214" t="s">
        <v>625</v>
      </c>
      <c r="D116" s="13" t="s">
        <v>42</v>
      </c>
      <c r="E116" s="14">
        <v>291</v>
      </c>
      <c r="F116" s="107"/>
      <c r="G116" s="33"/>
      <c r="H116" s="4"/>
      <c r="I116" s="129"/>
      <c r="J116" s="4"/>
      <c r="K116" s="337"/>
      <c r="L116" s="338"/>
      <c r="M116" s="338"/>
      <c r="N116" s="338"/>
      <c r="O116" s="338"/>
      <c r="P116" s="339"/>
    </row>
    <row r="117" spans="1:16" s="25" customFormat="1" ht="14.25">
      <c r="A117" s="106">
        <f t="shared" si="1"/>
        <v>94</v>
      </c>
      <c r="B117" s="2" t="s">
        <v>1119</v>
      </c>
      <c r="C117" s="214" t="s">
        <v>626</v>
      </c>
      <c r="D117" s="13" t="s">
        <v>42</v>
      </c>
      <c r="E117" s="14">
        <v>2532</v>
      </c>
      <c r="F117" s="107"/>
      <c r="G117" s="33"/>
      <c r="H117" s="4"/>
      <c r="I117" s="129"/>
      <c r="J117" s="4"/>
      <c r="K117" s="337"/>
      <c r="L117" s="338"/>
      <c r="M117" s="338"/>
      <c r="N117" s="338"/>
      <c r="O117" s="338"/>
      <c r="P117" s="339"/>
    </row>
    <row r="118" spans="1:16" s="25" customFormat="1" ht="14.25">
      <c r="A118" s="106">
        <f t="shared" si="1"/>
        <v>95</v>
      </c>
      <c r="B118" s="2" t="s">
        <v>1120</v>
      </c>
      <c r="C118" s="214" t="s">
        <v>627</v>
      </c>
      <c r="D118" s="13" t="s">
        <v>42</v>
      </c>
      <c r="E118" s="14">
        <v>1697</v>
      </c>
      <c r="F118" s="107"/>
      <c r="G118" s="33"/>
      <c r="H118" s="4"/>
      <c r="I118" s="129"/>
      <c r="J118" s="4"/>
      <c r="K118" s="337"/>
      <c r="L118" s="338"/>
      <c r="M118" s="338"/>
      <c r="N118" s="338"/>
      <c r="O118" s="338"/>
      <c r="P118" s="339"/>
    </row>
    <row r="119" spans="1:16" s="25" customFormat="1" ht="33.75">
      <c r="A119" s="106">
        <f t="shared" si="1"/>
        <v>96</v>
      </c>
      <c r="B119" s="2" t="s">
        <v>628</v>
      </c>
      <c r="C119" s="214" t="s">
        <v>629</v>
      </c>
      <c r="D119" s="13" t="s">
        <v>42</v>
      </c>
      <c r="E119" s="14">
        <v>105</v>
      </c>
      <c r="F119" s="107"/>
      <c r="G119" s="33"/>
      <c r="H119" s="4"/>
      <c r="I119" s="129"/>
      <c r="J119" s="4"/>
      <c r="K119" s="337"/>
      <c r="L119" s="338"/>
      <c r="M119" s="338"/>
      <c r="N119" s="338"/>
      <c r="O119" s="338"/>
      <c r="P119" s="339"/>
    </row>
    <row r="120" spans="1:16" s="25" customFormat="1" ht="33.75">
      <c r="A120" s="106">
        <f t="shared" si="1"/>
        <v>97</v>
      </c>
      <c r="B120" s="2" t="s">
        <v>630</v>
      </c>
      <c r="C120" s="214" t="s">
        <v>631</v>
      </c>
      <c r="D120" s="13" t="s">
        <v>42</v>
      </c>
      <c r="E120" s="14">
        <v>60</v>
      </c>
      <c r="F120" s="107"/>
      <c r="G120" s="33"/>
      <c r="H120" s="4"/>
      <c r="I120" s="129"/>
      <c r="J120" s="4"/>
      <c r="K120" s="337"/>
      <c r="L120" s="338"/>
      <c r="M120" s="338"/>
      <c r="N120" s="338"/>
      <c r="O120" s="338"/>
      <c r="P120" s="339"/>
    </row>
    <row r="121" spans="1:16" s="25" customFormat="1" ht="33.75">
      <c r="A121" s="106">
        <f t="shared" si="1"/>
        <v>98</v>
      </c>
      <c r="B121" s="2" t="s">
        <v>632</v>
      </c>
      <c r="C121" s="214" t="s">
        <v>633</v>
      </c>
      <c r="D121" s="13" t="s">
        <v>42</v>
      </c>
      <c r="E121" s="14">
        <v>45</v>
      </c>
      <c r="F121" s="107"/>
      <c r="G121" s="33"/>
      <c r="H121" s="4"/>
      <c r="I121" s="129"/>
      <c r="J121" s="4"/>
      <c r="K121" s="337"/>
      <c r="L121" s="338"/>
      <c r="M121" s="338"/>
      <c r="N121" s="338"/>
      <c r="O121" s="338"/>
      <c r="P121" s="339"/>
    </row>
    <row r="122" spans="1:16" s="25" customFormat="1" ht="33.75">
      <c r="A122" s="106">
        <f t="shared" si="1"/>
        <v>99</v>
      </c>
      <c r="B122" s="2" t="s">
        <v>634</v>
      </c>
      <c r="C122" s="214" t="s">
        <v>635</v>
      </c>
      <c r="D122" s="13" t="s">
        <v>42</v>
      </c>
      <c r="E122" s="14">
        <v>90</v>
      </c>
      <c r="F122" s="107"/>
      <c r="G122" s="33"/>
      <c r="H122" s="4"/>
      <c r="I122" s="129"/>
      <c r="J122" s="4"/>
      <c r="K122" s="337"/>
      <c r="L122" s="338"/>
      <c r="M122" s="338"/>
      <c r="N122" s="338"/>
      <c r="O122" s="338"/>
      <c r="P122" s="339"/>
    </row>
    <row r="123" spans="1:16" s="25" customFormat="1" ht="14.25">
      <c r="A123" s="106">
        <f t="shared" si="1"/>
        <v>100</v>
      </c>
      <c r="B123" s="2" t="s">
        <v>636</v>
      </c>
      <c r="C123" s="214" t="s">
        <v>637</v>
      </c>
      <c r="D123" s="13" t="s">
        <v>42</v>
      </c>
      <c r="E123" s="14">
        <v>475</v>
      </c>
      <c r="F123" s="107"/>
      <c r="G123" s="33"/>
      <c r="H123" s="4"/>
      <c r="I123" s="129"/>
      <c r="J123" s="4"/>
      <c r="K123" s="337"/>
      <c r="L123" s="338"/>
      <c r="M123" s="338"/>
      <c r="N123" s="338"/>
      <c r="O123" s="338"/>
      <c r="P123" s="339"/>
    </row>
    <row r="124" spans="1:16" s="25" customFormat="1" ht="14.25">
      <c r="A124" s="106">
        <f t="shared" si="1"/>
        <v>101</v>
      </c>
      <c r="B124" s="2" t="s">
        <v>638</v>
      </c>
      <c r="C124" s="214" t="s">
        <v>639</v>
      </c>
      <c r="D124" s="13" t="s">
        <v>42</v>
      </c>
      <c r="E124" s="14">
        <v>25</v>
      </c>
      <c r="F124" s="107"/>
      <c r="G124" s="33"/>
      <c r="H124" s="4"/>
      <c r="I124" s="129"/>
      <c r="J124" s="4"/>
      <c r="K124" s="337"/>
      <c r="L124" s="338"/>
      <c r="M124" s="338"/>
      <c r="N124" s="338"/>
      <c r="O124" s="338"/>
      <c r="P124" s="339"/>
    </row>
    <row r="125" spans="1:16" s="113" customFormat="1" ht="12.75">
      <c r="A125" s="106"/>
      <c r="B125" s="239" t="s">
        <v>640</v>
      </c>
      <c r="C125" s="240"/>
      <c r="D125" s="242"/>
      <c r="E125" s="107"/>
      <c r="G125" s="108"/>
      <c r="H125" s="4"/>
      <c r="I125" s="4"/>
      <c r="J125" s="4"/>
      <c r="K125" s="108"/>
      <c r="L125" s="108"/>
      <c r="M125" s="108"/>
      <c r="N125" s="108"/>
      <c r="O125" s="108"/>
      <c r="P125" s="109"/>
    </row>
    <row r="126" spans="1:16" s="25" customFormat="1" ht="24">
      <c r="A126" s="106">
        <v>102</v>
      </c>
      <c r="B126" s="2" t="s">
        <v>641</v>
      </c>
      <c r="C126" s="214" t="s">
        <v>1121</v>
      </c>
      <c r="D126" s="13" t="s">
        <v>29</v>
      </c>
      <c r="E126" s="215">
        <v>37</v>
      </c>
      <c r="F126" s="107"/>
      <c r="G126" s="33"/>
      <c r="H126" s="4"/>
      <c r="I126" s="4"/>
      <c r="J126" s="4"/>
      <c r="K126" s="337"/>
      <c r="L126" s="338"/>
      <c r="M126" s="338"/>
      <c r="N126" s="338"/>
      <c r="O126" s="338"/>
      <c r="P126" s="339"/>
    </row>
    <row r="127" spans="1:16" s="25" customFormat="1" ht="24">
      <c r="A127" s="106">
        <f t="shared" si="1"/>
        <v>103</v>
      </c>
      <c r="B127" s="2" t="s">
        <v>642</v>
      </c>
      <c r="C127" s="214" t="s">
        <v>1017</v>
      </c>
      <c r="D127" s="13" t="s">
        <v>29</v>
      </c>
      <c r="E127" s="215">
        <v>69</v>
      </c>
      <c r="F127" s="107"/>
      <c r="G127" s="33"/>
      <c r="H127" s="4"/>
      <c r="I127" s="4"/>
      <c r="J127" s="4"/>
      <c r="K127" s="337"/>
      <c r="L127" s="338"/>
      <c r="M127" s="338"/>
      <c r="N127" s="338"/>
      <c r="O127" s="338"/>
      <c r="P127" s="339"/>
    </row>
    <row r="128" spans="1:16" s="25" customFormat="1" ht="33.75">
      <c r="A128" s="106">
        <f t="shared" si="1"/>
        <v>104</v>
      </c>
      <c r="B128" s="2" t="s">
        <v>643</v>
      </c>
      <c r="C128" s="214" t="s">
        <v>1018</v>
      </c>
      <c r="D128" s="13" t="s">
        <v>29</v>
      </c>
      <c r="E128" s="215">
        <v>31</v>
      </c>
      <c r="F128" s="107"/>
      <c r="G128" s="33"/>
      <c r="H128" s="4"/>
      <c r="I128" s="4"/>
      <c r="J128" s="4"/>
      <c r="K128" s="337"/>
      <c r="L128" s="338"/>
      <c r="M128" s="338"/>
      <c r="N128" s="338"/>
      <c r="O128" s="338"/>
      <c r="P128" s="339"/>
    </row>
    <row r="129" spans="1:16" s="25" customFormat="1" ht="24">
      <c r="A129" s="106">
        <f t="shared" si="1"/>
        <v>105</v>
      </c>
      <c r="B129" s="2" t="s">
        <v>644</v>
      </c>
      <c r="C129" s="214"/>
      <c r="D129" s="13" t="s">
        <v>29</v>
      </c>
      <c r="E129" s="215">
        <v>19</v>
      </c>
      <c r="F129" s="107"/>
      <c r="G129" s="33"/>
      <c r="H129" s="4"/>
      <c r="I129" s="129"/>
      <c r="J129" s="4"/>
      <c r="K129" s="337"/>
      <c r="L129" s="338"/>
      <c r="M129" s="338"/>
      <c r="N129" s="338"/>
      <c r="O129" s="338"/>
      <c r="P129" s="339"/>
    </row>
    <row r="130" spans="1:16" s="25" customFormat="1" ht="24">
      <c r="A130" s="106">
        <f t="shared" si="1"/>
        <v>106</v>
      </c>
      <c r="B130" s="2" t="s">
        <v>645</v>
      </c>
      <c r="C130" s="214"/>
      <c r="D130" s="13" t="s">
        <v>29</v>
      </c>
      <c r="E130" s="215">
        <v>2</v>
      </c>
      <c r="F130" s="107"/>
      <c r="G130" s="33"/>
      <c r="H130" s="4"/>
      <c r="I130" s="129"/>
      <c r="J130" s="4"/>
      <c r="K130" s="337"/>
      <c r="L130" s="338"/>
      <c r="M130" s="338"/>
      <c r="N130" s="338"/>
      <c r="O130" s="338"/>
      <c r="P130" s="339"/>
    </row>
    <row r="131" spans="1:16" s="25" customFormat="1" ht="24">
      <c r="A131" s="106">
        <f t="shared" si="1"/>
        <v>107</v>
      </c>
      <c r="B131" s="2" t="s">
        <v>646</v>
      </c>
      <c r="C131" s="214"/>
      <c r="D131" s="13" t="s">
        <v>29</v>
      </c>
      <c r="E131" s="215">
        <v>9</v>
      </c>
      <c r="F131" s="107"/>
      <c r="G131" s="33"/>
      <c r="H131" s="4"/>
      <c r="I131" s="129"/>
      <c r="J131" s="4"/>
      <c r="K131" s="337"/>
      <c r="L131" s="338"/>
      <c r="M131" s="338"/>
      <c r="N131" s="338"/>
      <c r="O131" s="338"/>
      <c r="P131" s="339"/>
    </row>
    <row r="132" spans="1:16" s="25" customFormat="1" ht="14.25">
      <c r="A132" s="106">
        <f t="shared" si="1"/>
        <v>108</v>
      </c>
      <c r="B132" s="2" t="s">
        <v>647</v>
      </c>
      <c r="C132" s="214"/>
      <c r="D132" s="13" t="s">
        <v>30</v>
      </c>
      <c r="E132" s="215"/>
      <c r="F132" s="107"/>
      <c r="G132" s="33"/>
      <c r="H132" s="4"/>
      <c r="I132" s="129"/>
      <c r="J132" s="4"/>
      <c r="K132" s="337"/>
      <c r="L132" s="338"/>
      <c r="M132" s="338"/>
      <c r="N132" s="338"/>
      <c r="O132" s="338"/>
      <c r="P132" s="339"/>
    </row>
    <row r="133" spans="1:16" s="25" customFormat="1" ht="33.75">
      <c r="A133" s="106">
        <f t="shared" si="1"/>
        <v>109</v>
      </c>
      <c r="B133" s="2" t="s">
        <v>1019</v>
      </c>
      <c r="C133" s="214" t="s">
        <v>1021</v>
      </c>
      <c r="D133" s="13" t="s">
        <v>29</v>
      </c>
      <c r="E133" s="215">
        <v>18</v>
      </c>
      <c r="F133" s="107"/>
      <c r="G133" s="33"/>
      <c r="H133" s="4"/>
      <c r="I133" s="4"/>
      <c r="J133" s="4"/>
      <c r="K133" s="337"/>
      <c r="L133" s="338"/>
      <c r="M133" s="338"/>
      <c r="N133" s="338"/>
      <c r="O133" s="338"/>
      <c r="P133" s="339"/>
    </row>
    <row r="134" spans="1:16" s="25" customFormat="1" ht="33.75">
      <c r="A134" s="106">
        <f t="shared" si="1"/>
        <v>110</v>
      </c>
      <c r="B134" s="2" t="s">
        <v>1020</v>
      </c>
      <c r="C134" s="214" t="s">
        <v>777</v>
      </c>
      <c r="D134" s="13" t="s">
        <v>29</v>
      </c>
      <c r="E134" s="215">
        <v>7</v>
      </c>
      <c r="F134" s="107"/>
      <c r="G134" s="33"/>
      <c r="H134" s="4"/>
      <c r="I134" s="4"/>
      <c r="J134" s="4"/>
      <c r="K134" s="337"/>
      <c r="L134" s="338"/>
      <c r="M134" s="338"/>
      <c r="N134" s="338"/>
      <c r="O134" s="338"/>
      <c r="P134" s="339"/>
    </row>
    <row r="135" spans="1:16" s="113" customFormat="1" ht="12.75">
      <c r="A135" s="106"/>
      <c r="B135" s="239" t="s">
        <v>649</v>
      </c>
      <c r="C135" s="240"/>
      <c r="D135" s="242"/>
      <c r="E135" s="107"/>
      <c r="G135" s="108"/>
      <c r="H135" s="4"/>
      <c r="I135" s="4"/>
      <c r="J135" s="4"/>
      <c r="K135" s="108"/>
      <c r="L135" s="108"/>
      <c r="M135" s="108"/>
      <c r="N135" s="108"/>
      <c r="O135" s="108"/>
      <c r="P135" s="109"/>
    </row>
    <row r="136" spans="1:16" s="25" customFormat="1" ht="24">
      <c r="A136" s="106">
        <v>111</v>
      </c>
      <c r="B136" s="2" t="s">
        <v>650</v>
      </c>
      <c r="C136" s="214"/>
      <c r="D136" s="13" t="s">
        <v>29</v>
      </c>
      <c r="E136" s="215">
        <v>21</v>
      </c>
      <c r="F136" s="107"/>
      <c r="G136" s="33"/>
      <c r="H136" s="4"/>
      <c r="I136" s="129"/>
      <c r="J136" s="4"/>
      <c r="K136" s="337"/>
      <c r="L136" s="338"/>
      <c r="M136" s="338"/>
      <c r="N136" s="338"/>
      <c r="O136" s="338"/>
      <c r="P136" s="339"/>
    </row>
    <row r="137" spans="1:16" s="25" customFormat="1" ht="24">
      <c r="A137" s="106">
        <f t="shared" si="1"/>
        <v>112</v>
      </c>
      <c r="B137" s="2" t="s">
        <v>651</v>
      </c>
      <c r="C137" s="214"/>
      <c r="D137" s="13" t="s">
        <v>29</v>
      </c>
      <c r="E137" s="215">
        <v>34</v>
      </c>
      <c r="F137" s="107"/>
      <c r="G137" s="33"/>
      <c r="H137" s="4"/>
      <c r="I137" s="129"/>
      <c r="J137" s="4"/>
      <c r="K137" s="337"/>
      <c r="L137" s="338"/>
      <c r="M137" s="338"/>
      <c r="N137" s="338"/>
      <c r="O137" s="338"/>
      <c r="P137" s="339"/>
    </row>
    <row r="138" spans="1:16" s="25" customFormat="1" ht="24">
      <c r="A138" s="106">
        <f t="shared" si="1"/>
        <v>113</v>
      </c>
      <c r="B138" s="2" t="s">
        <v>652</v>
      </c>
      <c r="C138" s="214"/>
      <c r="D138" s="13" t="s">
        <v>29</v>
      </c>
      <c r="E138" s="215">
        <v>32</v>
      </c>
      <c r="F138" s="107"/>
      <c r="G138" s="33"/>
      <c r="H138" s="4"/>
      <c r="I138" s="129"/>
      <c r="J138" s="4"/>
      <c r="K138" s="337"/>
      <c r="L138" s="338"/>
      <c r="M138" s="338"/>
      <c r="N138" s="338"/>
      <c r="O138" s="338"/>
      <c r="P138" s="339"/>
    </row>
    <row r="139" spans="1:16" s="25" customFormat="1" ht="24">
      <c r="A139" s="106">
        <f t="shared" si="1"/>
        <v>114</v>
      </c>
      <c r="B139" s="2" t="s">
        <v>653</v>
      </c>
      <c r="C139" s="214"/>
      <c r="D139" s="13" t="s">
        <v>29</v>
      </c>
      <c r="E139" s="215">
        <v>4</v>
      </c>
      <c r="F139" s="107"/>
      <c r="G139" s="33"/>
      <c r="H139" s="4"/>
      <c r="I139" s="129"/>
      <c r="J139" s="4"/>
      <c r="K139" s="337"/>
      <c r="L139" s="338"/>
      <c r="M139" s="338"/>
      <c r="N139" s="338"/>
      <c r="O139" s="338"/>
      <c r="P139" s="339"/>
    </row>
    <row r="140" spans="1:16" s="25" customFormat="1" ht="24">
      <c r="A140" s="106">
        <f t="shared" si="1"/>
        <v>115</v>
      </c>
      <c r="B140" s="2" t="s">
        <v>654</v>
      </c>
      <c r="C140" s="214"/>
      <c r="D140" s="13" t="s">
        <v>29</v>
      </c>
      <c r="E140" s="215">
        <v>22</v>
      </c>
      <c r="F140" s="107"/>
      <c r="G140" s="33"/>
      <c r="H140" s="4"/>
      <c r="I140" s="129"/>
      <c r="J140" s="4"/>
      <c r="K140" s="337"/>
      <c r="L140" s="338"/>
      <c r="M140" s="338"/>
      <c r="N140" s="338"/>
      <c r="O140" s="338"/>
      <c r="P140" s="339"/>
    </row>
    <row r="141" spans="1:16" s="25" customFormat="1" ht="24">
      <c r="A141" s="106">
        <f t="shared" si="1"/>
        <v>116</v>
      </c>
      <c r="B141" s="2" t="s">
        <v>655</v>
      </c>
      <c r="C141" s="214"/>
      <c r="D141" s="13" t="s">
        <v>29</v>
      </c>
      <c r="E141" s="215">
        <v>11</v>
      </c>
      <c r="F141" s="107"/>
      <c r="G141" s="33"/>
      <c r="H141" s="4"/>
      <c r="I141" s="129"/>
      <c r="J141" s="4"/>
      <c r="K141" s="337"/>
      <c r="L141" s="338"/>
      <c r="M141" s="338"/>
      <c r="N141" s="338"/>
      <c r="O141" s="338"/>
      <c r="P141" s="339"/>
    </row>
    <row r="142" spans="1:16" s="25" customFormat="1" ht="24">
      <c r="A142" s="106">
        <f t="shared" si="1"/>
        <v>117</v>
      </c>
      <c r="B142" s="2" t="s">
        <v>656</v>
      </c>
      <c r="C142" s="214"/>
      <c r="D142" s="13" t="s">
        <v>29</v>
      </c>
      <c r="E142" s="215">
        <v>2</v>
      </c>
      <c r="F142" s="107"/>
      <c r="G142" s="33"/>
      <c r="H142" s="4"/>
      <c r="I142" s="129"/>
      <c r="J142" s="4"/>
      <c r="K142" s="337"/>
      <c r="L142" s="338"/>
      <c r="M142" s="338"/>
      <c r="N142" s="338"/>
      <c r="O142" s="338"/>
      <c r="P142" s="339"/>
    </row>
    <row r="143" spans="1:16" s="25" customFormat="1" ht="24">
      <c r="A143" s="106">
        <f t="shared" ref="A143:A179" si="2">A142+1</f>
        <v>118</v>
      </c>
      <c r="B143" s="2" t="s">
        <v>657</v>
      </c>
      <c r="C143" s="214"/>
      <c r="D143" s="13" t="s">
        <v>29</v>
      </c>
      <c r="E143" s="215">
        <v>5</v>
      </c>
      <c r="F143" s="107"/>
      <c r="G143" s="33"/>
      <c r="H143" s="4"/>
      <c r="I143" s="129"/>
      <c r="J143" s="4"/>
      <c r="K143" s="337"/>
      <c r="L143" s="338"/>
      <c r="M143" s="338"/>
      <c r="N143" s="338"/>
      <c r="O143" s="338"/>
      <c r="P143" s="339"/>
    </row>
    <row r="144" spans="1:16" s="25" customFormat="1" ht="24">
      <c r="A144" s="106">
        <f t="shared" si="2"/>
        <v>119</v>
      </c>
      <c r="B144" s="2" t="s">
        <v>658</v>
      </c>
      <c r="C144" s="214"/>
      <c r="D144" s="13" t="s">
        <v>29</v>
      </c>
      <c r="E144" s="215">
        <v>5</v>
      </c>
      <c r="F144" s="107"/>
      <c r="G144" s="33"/>
      <c r="H144" s="4"/>
      <c r="I144" s="129"/>
      <c r="J144" s="4"/>
      <c r="K144" s="337"/>
      <c r="L144" s="338"/>
      <c r="M144" s="338"/>
      <c r="N144" s="338"/>
      <c r="O144" s="338"/>
      <c r="P144" s="339"/>
    </row>
    <row r="145" spans="1:16" s="25" customFormat="1" ht="45">
      <c r="A145" s="106">
        <f t="shared" si="2"/>
        <v>120</v>
      </c>
      <c r="B145" s="2" t="s">
        <v>659</v>
      </c>
      <c r="C145" s="214" t="s">
        <v>1022</v>
      </c>
      <c r="D145" s="13" t="s">
        <v>29</v>
      </c>
      <c r="E145" s="215">
        <v>12</v>
      </c>
      <c r="F145" s="107"/>
      <c r="G145" s="33"/>
      <c r="H145" s="4"/>
      <c r="I145" s="129"/>
      <c r="J145" s="4"/>
      <c r="K145" s="337"/>
      <c r="L145" s="338"/>
      <c r="M145" s="338"/>
      <c r="N145" s="338"/>
      <c r="O145" s="338"/>
      <c r="P145" s="339"/>
    </row>
    <row r="146" spans="1:16" s="25" customFormat="1" ht="14.25">
      <c r="A146" s="106">
        <f t="shared" si="2"/>
        <v>121</v>
      </c>
      <c r="B146" s="2" t="s">
        <v>276</v>
      </c>
      <c r="C146" s="214"/>
      <c r="D146" s="13" t="s">
        <v>30</v>
      </c>
      <c r="E146" s="215">
        <v>1</v>
      </c>
      <c r="F146" s="107"/>
      <c r="G146" s="108"/>
      <c r="H146" s="4"/>
      <c r="I146" s="4"/>
      <c r="J146" s="4"/>
      <c r="K146" s="337"/>
      <c r="L146" s="338"/>
      <c r="M146" s="338"/>
      <c r="N146" s="338"/>
      <c r="O146" s="338"/>
      <c r="P146" s="339"/>
    </row>
    <row r="147" spans="1:16" s="113" customFormat="1" ht="12.75">
      <c r="A147" s="106"/>
      <c r="B147" s="239" t="s">
        <v>660</v>
      </c>
      <c r="C147" s="240"/>
      <c r="D147" s="242"/>
      <c r="E147" s="107"/>
      <c r="G147" s="108"/>
      <c r="H147" s="4"/>
      <c r="I147" s="4"/>
      <c r="J147" s="4"/>
      <c r="K147" s="108"/>
      <c r="L147" s="108"/>
      <c r="M147" s="108"/>
      <c r="N147" s="108"/>
      <c r="O147" s="108"/>
      <c r="P147" s="109"/>
    </row>
    <row r="148" spans="1:16" s="25" customFormat="1" ht="14.25">
      <c r="A148" s="106">
        <v>122</v>
      </c>
      <c r="B148" s="2" t="s">
        <v>661</v>
      </c>
      <c r="C148" s="214"/>
      <c r="D148" s="13" t="s">
        <v>42</v>
      </c>
      <c r="E148" s="14">
        <v>82</v>
      </c>
      <c r="F148" s="107"/>
      <c r="G148" s="33"/>
      <c r="H148" s="4"/>
      <c r="I148" s="129"/>
      <c r="J148" s="4"/>
      <c r="K148" s="337"/>
      <c r="L148" s="338"/>
      <c r="M148" s="338"/>
      <c r="N148" s="338"/>
      <c r="O148" s="338"/>
      <c r="P148" s="339"/>
    </row>
    <row r="149" spans="1:16" s="25" customFormat="1" ht="14.25">
      <c r="A149" s="106">
        <f t="shared" si="2"/>
        <v>123</v>
      </c>
      <c r="B149" s="2" t="s">
        <v>662</v>
      </c>
      <c r="C149" s="214"/>
      <c r="D149" s="13" t="s">
        <v>42</v>
      </c>
      <c r="E149" s="14">
        <v>110</v>
      </c>
      <c r="F149" s="107"/>
      <c r="G149" s="33"/>
      <c r="H149" s="4"/>
      <c r="I149" s="129"/>
      <c r="J149" s="4"/>
      <c r="K149" s="337"/>
      <c r="L149" s="338"/>
      <c r="M149" s="338"/>
      <c r="N149" s="338"/>
      <c r="O149" s="338"/>
      <c r="P149" s="339"/>
    </row>
    <row r="150" spans="1:16" s="25" customFormat="1" ht="14.25">
      <c r="A150" s="106">
        <f t="shared" si="2"/>
        <v>124</v>
      </c>
      <c r="B150" s="2" t="s">
        <v>663</v>
      </c>
      <c r="C150" s="214"/>
      <c r="D150" s="13" t="s">
        <v>42</v>
      </c>
      <c r="E150" s="14">
        <v>331</v>
      </c>
      <c r="F150" s="107"/>
      <c r="G150" s="33"/>
      <c r="H150" s="4"/>
      <c r="I150" s="129"/>
      <c r="J150" s="4"/>
      <c r="K150" s="337"/>
      <c r="L150" s="338"/>
      <c r="M150" s="338"/>
      <c r="N150" s="338"/>
      <c r="O150" s="338"/>
      <c r="P150" s="339"/>
    </row>
    <row r="151" spans="1:16" s="25" customFormat="1" ht="14.25">
      <c r="A151" s="106">
        <f t="shared" si="2"/>
        <v>125</v>
      </c>
      <c r="B151" s="2" t="s">
        <v>664</v>
      </c>
      <c r="C151" s="214"/>
      <c r="D151" s="13" t="s">
        <v>42</v>
      </c>
      <c r="E151" s="14">
        <v>3700</v>
      </c>
      <c r="F151" s="107"/>
      <c r="G151" s="33"/>
      <c r="H151" s="4"/>
      <c r="I151" s="129"/>
      <c r="J151" s="4"/>
      <c r="K151" s="337"/>
      <c r="L151" s="338"/>
      <c r="M151" s="338"/>
      <c r="N151" s="338"/>
      <c r="O151" s="338"/>
      <c r="P151" s="339"/>
    </row>
    <row r="152" spans="1:16" s="25" customFormat="1" ht="24">
      <c r="A152" s="106">
        <f t="shared" si="2"/>
        <v>126</v>
      </c>
      <c r="B152" s="2" t="s">
        <v>1023</v>
      </c>
      <c r="C152" s="214" t="s">
        <v>665</v>
      </c>
      <c r="D152" s="13" t="s">
        <v>29</v>
      </c>
      <c r="E152" s="215">
        <v>31</v>
      </c>
      <c r="F152" s="107"/>
      <c r="G152" s="33"/>
      <c r="H152" s="4"/>
      <c r="I152" s="129"/>
      <c r="J152" s="4"/>
      <c r="K152" s="337"/>
      <c r="L152" s="338"/>
      <c r="M152" s="338"/>
      <c r="N152" s="338"/>
      <c r="O152" s="338"/>
      <c r="P152" s="339"/>
    </row>
    <row r="153" spans="1:16" s="25" customFormat="1" ht="24">
      <c r="A153" s="106">
        <f t="shared" si="2"/>
        <v>127</v>
      </c>
      <c r="B153" s="2" t="s">
        <v>1024</v>
      </c>
      <c r="C153" s="214" t="s">
        <v>666</v>
      </c>
      <c r="D153" s="13" t="s">
        <v>29</v>
      </c>
      <c r="E153" s="215">
        <v>47</v>
      </c>
      <c r="F153" s="107"/>
      <c r="G153" s="33"/>
      <c r="H153" s="4"/>
      <c r="I153" s="129"/>
      <c r="J153" s="4"/>
      <c r="K153" s="337"/>
      <c r="L153" s="338"/>
      <c r="M153" s="338"/>
      <c r="N153" s="338"/>
      <c r="O153" s="338"/>
      <c r="P153" s="339"/>
    </row>
    <row r="154" spans="1:16" s="25" customFormat="1" ht="24">
      <c r="A154" s="106">
        <f t="shared" si="2"/>
        <v>128</v>
      </c>
      <c r="B154" s="2" t="s">
        <v>1025</v>
      </c>
      <c r="C154" s="214"/>
      <c r="D154" s="13" t="s">
        <v>30</v>
      </c>
      <c r="E154" s="215">
        <v>1</v>
      </c>
      <c r="F154" s="107"/>
      <c r="G154" s="108"/>
      <c r="H154" s="4"/>
      <c r="I154" s="4"/>
      <c r="J154" s="4"/>
      <c r="K154" s="337"/>
      <c r="L154" s="338"/>
      <c r="M154" s="338"/>
      <c r="N154" s="338"/>
      <c r="O154" s="338"/>
      <c r="P154" s="339"/>
    </row>
    <row r="155" spans="1:16" s="25" customFormat="1" ht="24">
      <c r="A155" s="106">
        <f t="shared" si="2"/>
        <v>129</v>
      </c>
      <c r="B155" s="2" t="s">
        <v>1026</v>
      </c>
      <c r="C155" s="214"/>
      <c r="D155" s="13" t="s">
        <v>30</v>
      </c>
      <c r="E155" s="215">
        <v>1</v>
      </c>
      <c r="F155" s="107"/>
      <c r="G155" s="108"/>
      <c r="H155" s="4"/>
      <c r="I155" s="4"/>
      <c r="J155" s="4"/>
      <c r="K155" s="337"/>
      <c r="L155" s="338"/>
      <c r="M155" s="338"/>
      <c r="N155" s="338"/>
      <c r="O155" s="338"/>
      <c r="P155" s="339"/>
    </row>
    <row r="156" spans="1:16" s="25" customFormat="1" ht="14.25">
      <c r="A156" s="106">
        <f t="shared" si="2"/>
        <v>130</v>
      </c>
      <c r="B156" s="2" t="s">
        <v>667</v>
      </c>
      <c r="C156" s="214"/>
      <c r="D156" s="13" t="s">
        <v>29</v>
      </c>
      <c r="E156" s="215">
        <v>10</v>
      </c>
      <c r="F156" s="107"/>
      <c r="G156" s="108"/>
      <c r="H156" s="4"/>
      <c r="I156" s="4"/>
      <c r="J156" s="4"/>
      <c r="K156" s="337"/>
      <c r="L156" s="338"/>
      <c r="M156" s="338"/>
      <c r="N156" s="338"/>
      <c r="O156" s="338"/>
      <c r="P156" s="339"/>
    </row>
    <row r="157" spans="1:16" s="25" customFormat="1" ht="14.25">
      <c r="A157" s="106">
        <f t="shared" si="2"/>
        <v>131</v>
      </c>
      <c r="B157" s="2" t="s">
        <v>668</v>
      </c>
      <c r="C157" s="214"/>
      <c r="D157" s="13" t="s">
        <v>29</v>
      </c>
      <c r="E157" s="215">
        <v>10</v>
      </c>
      <c r="F157" s="107"/>
      <c r="G157" s="108"/>
      <c r="H157" s="4"/>
      <c r="I157" s="4"/>
      <c r="J157" s="4"/>
      <c r="K157" s="337"/>
      <c r="L157" s="338"/>
      <c r="M157" s="338"/>
      <c r="N157" s="338"/>
      <c r="O157" s="338"/>
      <c r="P157" s="339"/>
    </row>
    <row r="158" spans="1:16" s="113" customFormat="1" ht="12.75">
      <c r="A158" s="106"/>
      <c r="B158" s="239" t="s">
        <v>669</v>
      </c>
      <c r="C158" s="240"/>
      <c r="D158" s="242"/>
      <c r="E158" s="107"/>
      <c r="F158" s="108"/>
      <c r="G158" s="108"/>
      <c r="H158" s="4"/>
      <c r="I158" s="4"/>
      <c r="J158" s="4"/>
      <c r="K158" s="108"/>
      <c r="L158" s="108"/>
      <c r="M158" s="108"/>
      <c r="N158" s="108"/>
      <c r="O158" s="108"/>
      <c r="P158" s="109"/>
    </row>
    <row r="159" spans="1:16" s="113" customFormat="1" ht="24">
      <c r="A159" s="106"/>
      <c r="B159" s="239" t="s">
        <v>670</v>
      </c>
      <c r="C159" s="240"/>
      <c r="D159" s="242"/>
      <c r="E159" s="107"/>
      <c r="G159" s="108"/>
      <c r="H159" s="4"/>
      <c r="I159" s="4"/>
      <c r="J159" s="4"/>
      <c r="K159" s="108"/>
      <c r="L159" s="108"/>
      <c r="M159" s="108"/>
      <c r="N159" s="108"/>
      <c r="O159" s="108"/>
      <c r="P159" s="109"/>
    </row>
    <row r="160" spans="1:16" s="25" customFormat="1" ht="14.25">
      <c r="A160" s="106">
        <v>132</v>
      </c>
      <c r="B160" s="2" t="s">
        <v>671</v>
      </c>
      <c r="C160" s="214"/>
      <c r="D160" s="13" t="s">
        <v>42</v>
      </c>
      <c r="E160" s="14">
        <v>387</v>
      </c>
      <c r="F160" s="107"/>
      <c r="G160" s="33"/>
      <c r="H160" s="4"/>
      <c r="I160" s="129"/>
      <c r="J160" s="4"/>
      <c r="K160" s="337"/>
      <c r="L160" s="338"/>
      <c r="M160" s="338"/>
      <c r="N160" s="338"/>
      <c r="O160" s="338"/>
      <c r="P160" s="339"/>
    </row>
    <row r="161" spans="1:16" s="25" customFormat="1" ht="14.25">
      <c r="A161" s="106">
        <f t="shared" si="2"/>
        <v>133</v>
      </c>
      <c r="B161" s="2" t="s">
        <v>672</v>
      </c>
      <c r="C161" s="214"/>
      <c r="D161" s="13" t="s">
        <v>42</v>
      </c>
      <c r="E161" s="14">
        <v>65</v>
      </c>
      <c r="F161" s="107"/>
      <c r="G161" s="33"/>
      <c r="H161" s="4"/>
      <c r="I161" s="129"/>
      <c r="J161" s="4"/>
      <c r="K161" s="337"/>
      <c r="L161" s="338"/>
      <c r="M161" s="338"/>
      <c r="N161" s="338"/>
      <c r="O161" s="338"/>
      <c r="P161" s="339"/>
    </row>
    <row r="162" spans="1:16" s="25" customFormat="1" ht="22.5">
      <c r="A162" s="106">
        <f t="shared" si="2"/>
        <v>134</v>
      </c>
      <c r="B162" s="2" t="s">
        <v>673</v>
      </c>
      <c r="C162" s="214" t="s">
        <v>674</v>
      </c>
      <c r="D162" s="13" t="s">
        <v>29</v>
      </c>
      <c r="E162" s="215">
        <v>64</v>
      </c>
      <c r="F162" s="107"/>
      <c r="G162" s="108"/>
      <c r="H162" s="4"/>
      <c r="I162" s="129"/>
      <c r="J162" s="4"/>
      <c r="K162" s="337"/>
      <c r="L162" s="338"/>
      <c r="M162" s="338"/>
      <c r="N162" s="338"/>
      <c r="O162" s="338"/>
      <c r="P162" s="339"/>
    </row>
    <row r="163" spans="1:16" s="25" customFormat="1" ht="45">
      <c r="A163" s="106">
        <f t="shared" si="2"/>
        <v>135</v>
      </c>
      <c r="B163" s="2" t="s">
        <v>675</v>
      </c>
      <c r="C163" s="214" t="s">
        <v>1027</v>
      </c>
      <c r="D163" s="13" t="s">
        <v>29</v>
      </c>
      <c r="E163" s="215">
        <v>27</v>
      </c>
      <c r="F163" s="107"/>
      <c r="G163" s="108"/>
      <c r="H163" s="4"/>
      <c r="I163" s="129"/>
      <c r="J163" s="4"/>
      <c r="K163" s="337"/>
      <c r="L163" s="338"/>
      <c r="M163" s="338"/>
      <c r="N163" s="338"/>
      <c r="O163" s="338"/>
      <c r="P163" s="339"/>
    </row>
    <row r="164" spans="1:16" s="25" customFormat="1" ht="33.75">
      <c r="A164" s="106">
        <f t="shared" si="2"/>
        <v>136</v>
      </c>
      <c r="B164" s="2" t="s">
        <v>676</v>
      </c>
      <c r="C164" s="214" t="s">
        <v>1028</v>
      </c>
      <c r="D164" s="13" t="s">
        <v>29</v>
      </c>
      <c r="E164" s="215">
        <v>10</v>
      </c>
      <c r="F164" s="107"/>
      <c r="G164" s="108"/>
      <c r="H164" s="4"/>
      <c r="I164" s="129"/>
      <c r="J164" s="4"/>
      <c r="K164" s="337"/>
      <c r="L164" s="338"/>
      <c r="M164" s="338"/>
      <c r="N164" s="338"/>
      <c r="O164" s="338"/>
      <c r="P164" s="339"/>
    </row>
    <row r="165" spans="1:16" s="25" customFormat="1" ht="33.75">
      <c r="A165" s="106">
        <f t="shared" si="2"/>
        <v>137</v>
      </c>
      <c r="B165" s="2" t="s">
        <v>677</v>
      </c>
      <c r="C165" s="214" t="s">
        <v>1029</v>
      </c>
      <c r="D165" s="13" t="s">
        <v>29</v>
      </c>
      <c r="E165" s="215">
        <v>27</v>
      </c>
      <c r="F165" s="107"/>
      <c r="G165" s="108"/>
      <c r="H165" s="4"/>
      <c r="I165" s="129"/>
      <c r="J165" s="4"/>
      <c r="K165" s="337"/>
      <c r="L165" s="338"/>
      <c r="M165" s="338"/>
      <c r="N165" s="338"/>
      <c r="O165" s="338"/>
      <c r="P165" s="339"/>
    </row>
    <row r="166" spans="1:16" s="25" customFormat="1" ht="33.75">
      <c r="A166" s="106">
        <f t="shared" si="2"/>
        <v>138</v>
      </c>
      <c r="B166" s="2" t="s">
        <v>678</v>
      </c>
      <c r="C166" s="214" t="s">
        <v>1030</v>
      </c>
      <c r="D166" s="13" t="s">
        <v>29</v>
      </c>
      <c r="E166" s="215">
        <v>226</v>
      </c>
      <c r="F166" s="107"/>
      <c r="G166" s="108"/>
      <c r="H166" s="4"/>
      <c r="I166" s="129"/>
      <c r="J166" s="4"/>
      <c r="K166" s="337"/>
      <c r="L166" s="338"/>
      <c r="M166" s="338"/>
      <c r="N166" s="338"/>
      <c r="O166" s="338"/>
      <c r="P166" s="339"/>
    </row>
    <row r="167" spans="1:16" s="25" customFormat="1" ht="45">
      <c r="A167" s="106">
        <f t="shared" si="2"/>
        <v>139</v>
      </c>
      <c r="B167" s="2" t="s">
        <v>679</v>
      </c>
      <c r="C167" s="214" t="s">
        <v>1031</v>
      </c>
      <c r="D167" s="13" t="s">
        <v>29</v>
      </c>
      <c r="E167" s="215">
        <v>217</v>
      </c>
      <c r="F167" s="107"/>
      <c r="G167" s="108"/>
      <c r="H167" s="4"/>
      <c r="I167" s="129"/>
      <c r="J167" s="4"/>
      <c r="K167" s="337"/>
      <c r="L167" s="338"/>
      <c r="M167" s="338"/>
      <c r="N167" s="338"/>
      <c r="O167" s="338"/>
      <c r="P167" s="339"/>
    </row>
    <row r="168" spans="1:16" s="25" customFormat="1" ht="14.25">
      <c r="A168" s="106">
        <f t="shared" si="2"/>
        <v>140</v>
      </c>
      <c r="B168" s="2" t="s">
        <v>680</v>
      </c>
      <c r="C168" s="214"/>
      <c r="D168" s="13" t="s">
        <v>42</v>
      </c>
      <c r="E168" s="14">
        <v>320</v>
      </c>
      <c r="F168" s="107"/>
      <c r="G168" s="33"/>
      <c r="H168" s="4"/>
      <c r="I168" s="129"/>
      <c r="J168" s="4"/>
      <c r="K168" s="337"/>
      <c r="L168" s="338"/>
      <c r="M168" s="338"/>
      <c r="N168" s="338"/>
      <c r="O168" s="338"/>
      <c r="P168" s="339"/>
    </row>
    <row r="169" spans="1:16" s="25" customFormat="1" ht="24">
      <c r="A169" s="106">
        <f t="shared" si="2"/>
        <v>141</v>
      </c>
      <c r="B169" s="2" t="s">
        <v>681</v>
      </c>
      <c r="C169" s="214"/>
      <c r="D169" s="13" t="s">
        <v>29</v>
      </c>
      <c r="E169" s="215">
        <v>36</v>
      </c>
      <c r="F169" s="107"/>
      <c r="G169" s="33"/>
      <c r="H169" s="4"/>
      <c r="I169" s="129"/>
      <c r="J169" s="4"/>
      <c r="K169" s="337"/>
      <c r="L169" s="338"/>
      <c r="M169" s="338"/>
      <c r="N169" s="338"/>
      <c r="O169" s="338"/>
      <c r="P169" s="339"/>
    </row>
    <row r="170" spans="1:16" s="25" customFormat="1" ht="48">
      <c r="A170" s="106">
        <f t="shared" si="2"/>
        <v>142</v>
      </c>
      <c r="B170" s="2" t="s">
        <v>682</v>
      </c>
      <c r="C170" s="214" t="s">
        <v>1032</v>
      </c>
      <c r="D170" s="13" t="s">
        <v>29</v>
      </c>
      <c r="E170" s="215">
        <v>42</v>
      </c>
      <c r="F170" s="107"/>
      <c r="G170" s="108"/>
      <c r="H170" s="4"/>
      <c r="I170" s="129"/>
      <c r="J170" s="4"/>
      <c r="K170" s="337"/>
      <c r="L170" s="338"/>
      <c r="M170" s="338"/>
      <c r="N170" s="338"/>
      <c r="O170" s="338"/>
      <c r="P170" s="339"/>
    </row>
    <row r="171" spans="1:16" s="113" customFormat="1" ht="12.75">
      <c r="A171" s="106"/>
      <c r="B171" s="239" t="s">
        <v>493</v>
      </c>
      <c r="C171" s="240"/>
      <c r="D171" s="242"/>
      <c r="E171" s="107"/>
      <c r="G171" s="108"/>
      <c r="H171" s="4"/>
      <c r="I171" s="4"/>
      <c r="J171" s="4"/>
      <c r="K171" s="108"/>
      <c r="L171" s="108"/>
      <c r="M171" s="108"/>
      <c r="N171" s="108"/>
      <c r="O171" s="108"/>
      <c r="P171" s="109"/>
    </row>
    <row r="172" spans="1:16" s="25" customFormat="1" ht="14.25">
      <c r="A172" s="106">
        <v>143</v>
      </c>
      <c r="B172" s="2" t="s">
        <v>671</v>
      </c>
      <c r="C172" s="214"/>
      <c r="D172" s="13" t="s">
        <v>42</v>
      </c>
      <c r="E172" s="14">
        <v>387</v>
      </c>
      <c r="F172" s="107"/>
      <c r="G172" s="33"/>
      <c r="H172" s="4"/>
      <c r="I172" s="129"/>
      <c r="J172" s="4"/>
      <c r="K172" s="337"/>
      <c r="L172" s="338"/>
      <c r="M172" s="338"/>
      <c r="N172" s="338"/>
      <c r="O172" s="338"/>
      <c r="P172" s="339"/>
    </row>
    <row r="173" spans="1:16" s="25" customFormat="1" ht="14.25">
      <c r="A173" s="106">
        <f t="shared" si="2"/>
        <v>144</v>
      </c>
      <c r="B173" s="2" t="s">
        <v>672</v>
      </c>
      <c r="C173" s="214"/>
      <c r="D173" s="13" t="s">
        <v>42</v>
      </c>
      <c r="E173" s="14">
        <v>65</v>
      </c>
      <c r="F173" s="107"/>
      <c r="G173" s="33"/>
      <c r="H173" s="4"/>
      <c r="I173" s="129"/>
      <c r="J173" s="4"/>
      <c r="K173" s="337"/>
      <c r="L173" s="338"/>
      <c r="M173" s="338"/>
      <c r="N173" s="338"/>
      <c r="O173" s="338"/>
      <c r="P173" s="339"/>
    </row>
    <row r="174" spans="1:16" s="25" customFormat="1" ht="45">
      <c r="A174" s="106">
        <f t="shared" si="2"/>
        <v>145</v>
      </c>
      <c r="B174" s="2" t="s">
        <v>675</v>
      </c>
      <c r="C174" s="214" t="s">
        <v>1027</v>
      </c>
      <c r="D174" s="13" t="s">
        <v>29</v>
      </c>
      <c r="E174" s="215">
        <v>22</v>
      </c>
      <c r="F174" s="107"/>
      <c r="G174" s="108"/>
      <c r="H174" s="4"/>
      <c r="I174" s="129"/>
      <c r="J174" s="4"/>
      <c r="K174" s="337"/>
      <c r="L174" s="338"/>
      <c r="M174" s="338"/>
      <c r="N174" s="338"/>
      <c r="O174" s="338"/>
      <c r="P174" s="339"/>
    </row>
    <row r="175" spans="1:16" s="25" customFormat="1" ht="33.75">
      <c r="A175" s="106">
        <f t="shared" si="2"/>
        <v>146</v>
      </c>
      <c r="B175" s="2" t="s">
        <v>676</v>
      </c>
      <c r="C175" s="214" t="s">
        <v>1028</v>
      </c>
      <c r="D175" s="13" t="s">
        <v>29</v>
      </c>
      <c r="E175" s="215">
        <v>10</v>
      </c>
      <c r="F175" s="107"/>
      <c r="G175" s="108"/>
      <c r="H175" s="4"/>
      <c r="I175" s="129"/>
      <c r="J175" s="4"/>
      <c r="K175" s="337"/>
      <c r="L175" s="338"/>
      <c r="M175" s="338"/>
      <c r="N175" s="338"/>
      <c r="O175" s="338"/>
      <c r="P175" s="339"/>
    </row>
    <row r="176" spans="1:16" s="25" customFormat="1" ht="33.75">
      <c r="A176" s="106">
        <f t="shared" si="2"/>
        <v>147</v>
      </c>
      <c r="B176" s="2" t="s">
        <v>677</v>
      </c>
      <c r="C176" s="214" t="s">
        <v>1029</v>
      </c>
      <c r="D176" s="13" t="s">
        <v>29</v>
      </c>
      <c r="E176" s="215">
        <v>22</v>
      </c>
      <c r="F176" s="107"/>
      <c r="G176" s="108"/>
      <c r="H176" s="4"/>
      <c r="I176" s="129"/>
      <c r="J176" s="4"/>
      <c r="K176" s="337"/>
      <c r="L176" s="338"/>
      <c r="M176" s="338"/>
      <c r="N176" s="338"/>
      <c r="O176" s="338"/>
      <c r="P176" s="339"/>
    </row>
    <row r="177" spans="1:25" s="25" customFormat="1" ht="14.25">
      <c r="A177" s="106">
        <f t="shared" si="2"/>
        <v>148</v>
      </c>
      <c r="B177" s="2" t="s">
        <v>680</v>
      </c>
      <c r="C177" s="214"/>
      <c r="D177" s="13" t="s">
        <v>42</v>
      </c>
      <c r="E177" s="14">
        <v>280</v>
      </c>
      <c r="F177" s="107"/>
      <c r="G177" s="33"/>
      <c r="H177" s="4"/>
      <c r="I177" s="129"/>
      <c r="J177" s="4"/>
      <c r="K177" s="337"/>
      <c r="L177" s="338"/>
      <c r="M177" s="338"/>
      <c r="N177" s="338"/>
      <c r="O177" s="338"/>
      <c r="P177" s="339"/>
    </row>
    <row r="178" spans="1:25" s="25" customFormat="1" ht="24">
      <c r="A178" s="106">
        <f t="shared" si="2"/>
        <v>149</v>
      </c>
      <c r="B178" s="2" t="s">
        <v>681</v>
      </c>
      <c r="C178" s="214"/>
      <c r="D178" s="13" t="s">
        <v>29</v>
      </c>
      <c r="E178" s="215">
        <v>36</v>
      </c>
      <c r="F178" s="107"/>
      <c r="G178" s="33"/>
      <c r="H178" s="4"/>
      <c r="I178" s="129"/>
      <c r="J178" s="4"/>
      <c r="K178" s="337"/>
      <c r="L178" s="338"/>
      <c r="M178" s="338"/>
      <c r="N178" s="338"/>
      <c r="O178" s="338"/>
      <c r="P178" s="339"/>
    </row>
    <row r="179" spans="1:25" s="25" customFormat="1" ht="48.75" thickBot="1">
      <c r="A179" s="106">
        <f t="shared" si="2"/>
        <v>150</v>
      </c>
      <c r="B179" s="2" t="s">
        <v>682</v>
      </c>
      <c r="C179" s="214" t="s">
        <v>1033</v>
      </c>
      <c r="D179" s="13" t="s">
        <v>29</v>
      </c>
      <c r="E179" s="215">
        <v>22</v>
      </c>
      <c r="F179" s="107"/>
      <c r="G179" s="108"/>
      <c r="H179" s="4"/>
      <c r="I179" s="129"/>
      <c r="J179" s="4"/>
      <c r="K179" s="337"/>
      <c r="L179" s="338"/>
      <c r="M179" s="338"/>
      <c r="N179" s="338"/>
      <c r="O179" s="338"/>
      <c r="P179" s="339"/>
    </row>
    <row r="180" spans="1:25" s="102" customFormat="1" ht="15.75" thickTop="1" thickBot="1">
      <c r="A180" s="181"/>
      <c r="B180" s="400" t="s">
        <v>1587</v>
      </c>
      <c r="C180" s="401"/>
      <c r="D180" s="401"/>
      <c r="E180" s="401"/>
      <c r="F180" s="401"/>
      <c r="G180" s="401"/>
      <c r="H180" s="401"/>
      <c r="I180" s="401"/>
      <c r="J180" s="401"/>
      <c r="K180" s="402"/>
      <c r="L180" s="182"/>
      <c r="M180" s="182"/>
      <c r="N180" s="182"/>
      <c r="O180" s="182"/>
      <c r="P180" s="183"/>
      <c r="Q180" s="25"/>
      <c r="R180" s="25"/>
      <c r="S180" s="25"/>
      <c r="T180" s="25"/>
      <c r="U180" s="25"/>
      <c r="V180" s="25"/>
      <c r="W180" s="25"/>
      <c r="X180" s="25"/>
      <c r="Y180" s="25"/>
    </row>
    <row r="181" spans="1:25" s="102" customFormat="1" ht="15" thickTop="1">
      <c r="A181" s="220"/>
      <c r="B181" s="220"/>
      <c r="C181" s="220"/>
      <c r="D181" s="220"/>
      <c r="E181" s="220"/>
      <c r="F181" s="220"/>
      <c r="G181" s="220"/>
      <c r="H181" s="220"/>
      <c r="I181" s="220"/>
      <c r="J181" s="220"/>
      <c r="K181" s="220"/>
      <c r="L181" s="220"/>
      <c r="M181" s="220"/>
      <c r="N181" s="220"/>
      <c r="O181" s="220"/>
      <c r="P181" s="220"/>
      <c r="Q181" s="25"/>
      <c r="R181" s="25"/>
      <c r="S181" s="25"/>
      <c r="T181" s="25"/>
      <c r="U181" s="25"/>
      <c r="V181" s="25"/>
      <c r="W181" s="25"/>
      <c r="X181" s="25"/>
      <c r="Y181" s="25"/>
    </row>
    <row r="182" spans="1:25" s="102" customFormat="1" ht="14.25">
      <c r="A182" s="220"/>
      <c r="B182" s="220"/>
      <c r="C182" s="220"/>
      <c r="D182" s="220"/>
      <c r="E182" s="220"/>
      <c r="F182" s="220"/>
      <c r="G182" s="220"/>
      <c r="H182" s="220"/>
      <c r="I182" s="220"/>
      <c r="J182" s="220"/>
      <c r="K182" s="220"/>
      <c r="L182" s="220"/>
      <c r="M182" s="220"/>
      <c r="N182" s="220"/>
      <c r="O182" s="220"/>
      <c r="P182" s="220"/>
      <c r="Q182" s="25"/>
      <c r="R182" s="25"/>
      <c r="S182" s="25"/>
      <c r="T182" s="25"/>
      <c r="U182" s="25"/>
      <c r="V182" s="25"/>
      <c r="W182" s="25"/>
      <c r="X182" s="25"/>
      <c r="Y182" s="25"/>
    </row>
    <row r="183" spans="1:25">
      <c r="B183" s="172" t="s">
        <v>209</v>
      </c>
    </row>
    <row r="184" spans="1:25">
      <c r="B184" s="172"/>
    </row>
    <row r="185" spans="1:25">
      <c r="B185" s="92">
        <f ca="1">TODAY()</f>
        <v>43206</v>
      </c>
    </row>
  </sheetData>
  <mergeCells count="23">
    <mergeCell ref="B180:K180"/>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 ref="N8:N11"/>
    <mergeCell ref="I8:I11"/>
    <mergeCell ref="J8:J11"/>
    <mergeCell ref="K8:K11"/>
    <mergeCell ref="L8:L11"/>
    <mergeCell ref="M8:M11"/>
  </mergeCells>
  <conditionalFormatting sqref="I123">
    <cfRule type="containsErrors" dxfId="41" priority="2" stopIfTrue="1">
      <formula>ISERROR(I123)</formula>
    </cfRule>
  </conditionalFormatting>
  <conditionalFormatting sqref="I123">
    <cfRule type="cellIs" dxfId="40" priority="1" operator="equal">
      <formula>0</formula>
    </cfRule>
  </conditionalFormatting>
  <printOptions horizontalCentered="1"/>
  <pageMargins left="0.31496062992125984" right="0.31496062992125984"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85"/>
  <sheetViews>
    <sheetView topLeftCell="A61" zoomScaleNormal="100" workbookViewId="0">
      <selection activeCell="L80" sqref="L80"/>
    </sheetView>
  </sheetViews>
  <sheetFormatPr defaultColWidth="9.140625" defaultRowHeight="12"/>
  <cols>
    <col min="1" max="1" width="5.5703125" style="220" customWidth="1"/>
    <col min="2" max="2" width="36.28515625" style="220" customWidth="1"/>
    <col min="3" max="3" width="10.28515625" style="220" customWidth="1"/>
    <col min="4" max="5" width="7.28515625" style="220" customWidth="1"/>
    <col min="6" max="11" width="8.140625" style="220" customWidth="1"/>
    <col min="12" max="15" width="9.140625" style="220" customWidth="1"/>
    <col min="16" max="16" width="11.140625" style="220" customWidth="1"/>
    <col min="17" max="17" width="9.28515625" style="220" customWidth="1"/>
    <col min="18" max="24" width="2.140625" style="220" customWidth="1"/>
    <col min="25" max="16384" width="9.140625" style="220"/>
  </cols>
  <sheetData>
    <row r="1" spans="1:16" s="27" customFormat="1" ht="14.25">
      <c r="A1" s="368" t="s">
        <v>274</v>
      </c>
      <c r="B1" s="368"/>
      <c r="C1" s="368"/>
      <c r="D1" s="368"/>
      <c r="E1" s="368"/>
      <c r="F1" s="368"/>
      <c r="G1" s="368"/>
      <c r="H1" s="368"/>
      <c r="I1" s="368"/>
      <c r="J1" s="368"/>
      <c r="K1" s="368"/>
      <c r="L1" s="368"/>
      <c r="M1" s="368"/>
      <c r="N1" s="368"/>
      <c r="O1" s="368"/>
      <c r="P1" s="368"/>
    </row>
    <row r="2" spans="1:16" s="27" customFormat="1" ht="14.25">
      <c r="A2" s="405" t="str">
        <f>Kopsavilkums!C35</f>
        <v>VST</v>
      </c>
      <c r="B2" s="405"/>
      <c r="C2" s="405"/>
      <c r="D2" s="405"/>
      <c r="E2" s="405"/>
      <c r="F2" s="405"/>
      <c r="G2" s="405"/>
      <c r="H2" s="405"/>
      <c r="I2" s="405"/>
      <c r="J2" s="405"/>
      <c r="K2" s="405"/>
      <c r="L2" s="405"/>
      <c r="M2" s="405"/>
      <c r="N2" s="405"/>
      <c r="O2" s="405"/>
      <c r="P2" s="405"/>
    </row>
    <row r="3" spans="1:16" s="27" customFormat="1" ht="14.25">
      <c r="A3" s="115" t="s">
        <v>1246</v>
      </c>
      <c r="B3" s="119"/>
      <c r="C3" s="119"/>
      <c r="D3" s="119"/>
      <c r="E3" s="119"/>
      <c r="F3" s="119"/>
      <c r="G3" s="119"/>
      <c r="H3" s="119"/>
      <c r="I3" s="119"/>
      <c r="J3" s="119"/>
      <c r="K3" s="119"/>
      <c r="L3" s="119"/>
      <c r="M3" s="119"/>
      <c r="N3" s="119"/>
      <c r="O3" s="119"/>
      <c r="P3" s="119"/>
    </row>
    <row r="4" spans="1:16" s="27" customFormat="1" ht="14.25">
      <c r="A4" s="115" t="s">
        <v>307</v>
      </c>
      <c r="B4" s="119"/>
      <c r="C4" s="119"/>
      <c r="D4" s="119"/>
      <c r="E4" s="119"/>
      <c r="F4" s="119"/>
      <c r="G4" s="119"/>
      <c r="H4" s="119"/>
      <c r="I4" s="119"/>
      <c r="J4" s="119"/>
      <c r="K4" s="119"/>
      <c r="L4" s="119"/>
      <c r="M4" s="119"/>
      <c r="N4" s="119"/>
      <c r="O4" s="119"/>
      <c r="P4" s="119"/>
    </row>
    <row r="5" spans="1:16" s="27" customFormat="1" ht="14.25">
      <c r="A5" s="115" t="s">
        <v>306</v>
      </c>
      <c r="B5" s="119"/>
      <c r="C5" s="119"/>
      <c r="D5" s="119"/>
      <c r="E5" s="119"/>
      <c r="F5" s="119"/>
      <c r="G5" s="119"/>
      <c r="H5" s="119"/>
      <c r="I5" s="119"/>
      <c r="J5" s="119"/>
      <c r="K5" s="119"/>
      <c r="L5" s="119"/>
      <c r="M5" s="119"/>
      <c r="N5" s="119"/>
      <c r="O5" s="119"/>
      <c r="P5" s="119"/>
    </row>
    <row r="6" spans="1:16" s="15" customFormat="1" ht="13.5" thickBot="1">
      <c r="F6" s="28"/>
      <c r="G6" s="28"/>
      <c r="H6" s="28"/>
      <c r="I6" s="28"/>
      <c r="J6" s="28"/>
      <c r="K6" s="370" t="s">
        <v>13</v>
      </c>
      <c r="L6" s="370"/>
      <c r="M6" s="370"/>
      <c r="N6" s="370"/>
      <c r="O6" s="406" t="e">
        <f>#REF!</f>
        <v>#REF!</v>
      </c>
      <c r="P6" s="406"/>
    </row>
    <row r="7" spans="1:16" s="133" customFormat="1" ht="12.75">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25" customFormat="1" ht="15" thickTop="1">
      <c r="A13" s="106"/>
      <c r="B13" s="236" t="s">
        <v>275</v>
      </c>
      <c r="C13" s="237"/>
      <c r="D13" s="13"/>
      <c r="E13" s="10"/>
      <c r="F13" s="33"/>
      <c r="G13" s="33"/>
      <c r="H13" s="4"/>
      <c r="I13" s="4"/>
      <c r="J13" s="4"/>
      <c r="K13" s="4"/>
      <c r="L13" s="4"/>
      <c r="M13" s="4"/>
      <c r="N13" s="4"/>
      <c r="O13" s="4"/>
      <c r="P13" s="20"/>
    </row>
    <row r="14" spans="1:16" s="25" customFormat="1" ht="22.5">
      <c r="A14" s="106">
        <f t="shared" ref="A14:A77" si="0">A13+1</f>
        <v>1</v>
      </c>
      <c r="B14" s="2" t="s">
        <v>699</v>
      </c>
      <c r="C14" s="214" t="s">
        <v>698</v>
      </c>
      <c r="D14" s="13" t="s">
        <v>30</v>
      </c>
      <c r="E14" s="215">
        <v>1</v>
      </c>
      <c r="F14" s="9"/>
      <c r="G14" s="33"/>
      <c r="H14" s="4"/>
      <c r="I14" s="4"/>
      <c r="J14" s="4"/>
      <c r="K14" s="337"/>
      <c r="L14" s="338"/>
      <c r="M14" s="338"/>
      <c r="N14" s="338"/>
      <c r="O14" s="338"/>
      <c r="P14" s="339"/>
    </row>
    <row r="15" spans="1:16" s="25" customFormat="1" ht="14.25">
      <c r="A15" s="106">
        <f t="shared" si="0"/>
        <v>2</v>
      </c>
      <c r="B15" s="2" t="s">
        <v>697</v>
      </c>
      <c r="C15" s="214"/>
      <c r="D15" s="13" t="s">
        <v>29</v>
      </c>
      <c r="E15" s="215">
        <v>1</v>
      </c>
      <c r="F15" s="9"/>
      <c r="G15" s="33"/>
      <c r="H15" s="4"/>
      <c r="I15" s="4"/>
      <c r="J15" s="4"/>
      <c r="K15" s="337"/>
      <c r="L15" s="338"/>
      <c r="M15" s="338"/>
      <c r="N15" s="338"/>
      <c r="O15" s="338"/>
      <c r="P15" s="339"/>
    </row>
    <row r="16" spans="1:16" s="25" customFormat="1" ht="14.25">
      <c r="A16" s="106">
        <f t="shared" si="0"/>
        <v>3</v>
      </c>
      <c r="B16" s="2" t="s">
        <v>696</v>
      </c>
      <c r="C16" s="214" t="s">
        <v>695</v>
      </c>
      <c r="D16" s="13" t="s">
        <v>29</v>
      </c>
      <c r="E16" s="215">
        <v>1</v>
      </c>
      <c r="F16" s="9"/>
      <c r="G16" s="33"/>
      <c r="H16" s="4"/>
      <c r="I16" s="4"/>
      <c r="J16" s="4"/>
      <c r="K16" s="337"/>
      <c r="L16" s="338"/>
      <c r="M16" s="338"/>
      <c r="N16" s="338"/>
      <c r="O16" s="338"/>
      <c r="P16" s="339"/>
    </row>
    <row r="17" spans="1:16" s="25" customFormat="1" ht="14.25">
      <c r="A17" s="106">
        <f t="shared" si="0"/>
        <v>4</v>
      </c>
      <c r="B17" s="2" t="s">
        <v>1105</v>
      </c>
      <c r="C17" s="214" t="s">
        <v>694</v>
      </c>
      <c r="D17" s="13" t="s">
        <v>29</v>
      </c>
      <c r="E17" s="215">
        <v>1</v>
      </c>
      <c r="F17" s="33"/>
      <c r="G17" s="33"/>
      <c r="H17" s="4"/>
      <c r="I17" s="4"/>
      <c r="J17" s="4"/>
      <c r="K17" s="337"/>
      <c r="L17" s="338"/>
      <c r="M17" s="338"/>
      <c r="N17" s="338"/>
      <c r="O17" s="338"/>
      <c r="P17" s="339"/>
    </row>
    <row r="18" spans="1:16" s="25" customFormat="1" ht="14.25">
      <c r="A18" s="106">
        <f t="shared" si="0"/>
        <v>5</v>
      </c>
      <c r="B18" s="2" t="s">
        <v>1111</v>
      </c>
      <c r="C18" s="214" t="s">
        <v>693</v>
      </c>
      <c r="D18" s="13" t="s">
        <v>29</v>
      </c>
      <c r="E18" s="215">
        <v>1</v>
      </c>
      <c r="F18" s="33"/>
      <c r="G18" s="33"/>
      <c r="H18" s="4"/>
      <c r="I18" s="4"/>
      <c r="J18" s="4"/>
      <c r="K18" s="337"/>
      <c r="L18" s="338"/>
      <c r="M18" s="338"/>
      <c r="N18" s="338"/>
      <c r="O18" s="338"/>
      <c r="P18" s="339"/>
    </row>
    <row r="19" spans="1:16" s="25" customFormat="1" ht="14.25">
      <c r="A19" s="106">
        <f t="shared" si="0"/>
        <v>6</v>
      </c>
      <c r="B19" s="2" t="s">
        <v>1112</v>
      </c>
      <c r="C19" s="214" t="s">
        <v>692</v>
      </c>
      <c r="D19" s="13" t="s">
        <v>29</v>
      </c>
      <c r="E19" s="215">
        <v>5</v>
      </c>
      <c r="F19" s="33"/>
      <c r="G19" s="33"/>
      <c r="H19" s="4"/>
      <c r="I19" s="4"/>
      <c r="J19" s="4"/>
      <c r="K19" s="337"/>
      <c r="L19" s="338"/>
      <c r="M19" s="338"/>
      <c r="N19" s="338"/>
      <c r="O19" s="338"/>
      <c r="P19" s="339"/>
    </row>
    <row r="20" spans="1:16" s="25" customFormat="1" ht="14.25">
      <c r="A20" s="106">
        <f t="shared" si="0"/>
        <v>7</v>
      </c>
      <c r="B20" s="2" t="s">
        <v>691</v>
      </c>
      <c r="C20" s="214" t="s">
        <v>690</v>
      </c>
      <c r="D20" s="13" t="s">
        <v>29</v>
      </c>
      <c r="E20" s="215">
        <v>2</v>
      </c>
      <c r="F20" s="33"/>
      <c r="G20" s="33"/>
      <c r="H20" s="4"/>
      <c r="I20" s="4"/>
      <c r="J20" s="4"/>
      <c r="K20" s="337"/>
      <c r="L20" s="338"/>
      <c r="M20" s="338"/>
      <c r="N20" s="338"/>
      <c r="O20" s="338"/>
      <c r="P20" s="339"/>
    </row>
    <row r="21" spans="1:16" s="25" customFormat="1" ht="14.25">
      <c r="A21" s="106">
        <f t="shared" si="0"/>
        <v>8</v>
      </c>
      <c r="B21" s="2" t="s">
        <v>1113</v>
      </c>
      <c r="C21" s="214" t="s">
        <v>689</v>
      </c>
      <c r="D21" s="13" t="s">
        <v>42</v>
      </c>
      <c r="E21" s="14">
        <v>90</v>
      </c>
      <c r="F21" s="9"/>
      <c r="G21" s="33"/>
      <c r="H21" s="4"/>
      <c r="I21" s="4"/>
      <c r="J21" s="4"/>
      <c r="K21" s="337"/>
      <c r="L21" s="338"/>
      <c r="M21" s="338"/>
      <c r="N21" s="338"/>
      <c r="O21" s="338"/>
      <c r="P21" s="339"/>
    </row>
    <row r="22" spans="1:16" s="25" customFormat="1" ht="14.25">
      <c r="A22" s="106">
        <f t="shared" si="0"/>
        <v>9</v>
      </c>
      <c r="B22" s="2" t="s">
        <v>688</v>
      </c>
      <c r="C22" s="214" t="s">
        <v>687</v>
      </c>
      <c r="D22" s="13" t="s">
        <v>42</v>
      </c>
      <c r="E22" s="14">
        <v>45</v>
      </c>
      <c r="F22" s="9"/>
      <c r="G22" s="33"/>
      <c r="H22" s="4"/>
      <c r="I22" s="4"/>
      <c r="J22" s="4"/>
      <c r="K22" s="337"/>
      <c r="L22" s="338"/>
      <c r="M22" s="338"/>
      <c r="N22" s="338"/>
      <c r="O22" s="338"/>
      <c r="P22" s="339"/>
    </row>
    <row r="23" spans="1:16" s="25" customFormat="1" ht="24">
      <c r="A23" s="106">
        <f t="shared" si="0"/>
        <v>10</v>
      </c>
      <c r="B23" s="2" t="s">
        <v>686</v>
      </c>
      <c r="C23" s="214" t="s">
        <v>685</v>
      </c>
      <c r="D23" s="13" t="s">
        <v>42</v>
      </c>
      <c r="E23" s="14">
        <v>550</v>
      </c>
      <c r="F23" s="9"/>
      <c r="G23" s="33"/>
      <c r="H23" s="4"/>
      <c r="I23" s="4"/>
      <c r="J23" s="4"/>
      <c r="K23" s="337"/>
      <c r="L23" s="338"/>
      <c r="M23" s="338"/>
      <c r="N23" s="338"/>
      <c r="O23" s="338"/>
      <c r="P23" s="339"/>
    </row>
    <row r="24" spans="1:16" s="25" customFormat="1" ht="14.25">
      <c r="A24" s="106">
        <f t="shared" si="0"/>
        <v>11</v>
      </c>
      <c r="B24" s="2" t="s">
        <v>684</v>
      </c>
      <c r="C24" s="214" t="s">
        <v>683</v>
      </c>
      <c r="D24" s="13" t="s">
        <v>42</v>
      </c>
      <c r="E24" s="14">
        <v>75</v>
      </c>
      <c r="F24" s="9"/>
      <c r="G24" s="33"/>
      <c r="H24" s="4"/>
      <c r="I24" s="4"/>
      <c r="J24" s="4"/>
      <c r="K24" s="337"/>
      <c r="L24" s="338"/>
      <c r="M24" s="338"/>
      <c r="N24" s="338"/>
      <c r="O24" s="338"/>
      <c r="P24" s="339"/>
    </row>
    <row r="25" spans="1:16" s="25" customFormat="1" ht="14.25">
      <c r="A25" s="106">
        <f t="shared" si="0"/>
        <v>12</v>
      </c>
      <c r="B25" s="2" t="s">
        <v>700</v>
      </c>
      <c r="C25" s="214"/>
      <c r="D25" s="13" t="s">
        <v>30</v>
      </c>
      <c r="E25" s="215">
        <v>1</v>
      </c>
      <c r="F25" s="9"/>
      <c r="G25" s="108"/>
      <c r="H25" s="4"/>
      <c r="I25" s="4"/>
      <c r="J25" s="4"/>
      <c r="K25" s="337"/>
      <c r="L25" s="338"/>
      <c r="M25" s="338"/>
      <c r="N25" s="338"/>
      <c r="O25" s="338"/>
      <c r="P25" s="339"/>
    </row>
    <row r="26" spans="1:16" s="25" customFormat="1" ht="24">
      <c r="A26" s="106"/>
      <c r="B26" s="236" t="s">
        <v>277</v>
      </c>
      <c r="C26" s="237"/>
      <c r="D26" s="13"/>
      <c r="E26" s="10"/>
      <c r="F26" s="33"/>
      <c r="G26" s="33"/>
      <c r="H26" s="4"/>
      <c r="I26" s="4"/>
      <c r="J26" s="4"/>
      <c r="K26" s="4"/>
      <c r="L26" s="4"/>
      <c r="M26" s="4"/>
      <c r="N26" s="4"/>
      <c r="O26" s="4"/>
      <c r="P26" s="20"/>
    </row>
    <row r="27" spans="1:16" s="25" customFormat="1" ht="24">
      <c r="A27" s="106"/>
      <c r="B27" s="236" t="s">
        <v>734</v>
      </c>
      <c r="C27" s="237"/>
      <c r="D27" s="13"/>
      <c r="E27" s="10"/>
      <c r="F27" s="33"/>
      <c r="G27" s="33"/>
      <c r="H27" s="4"/>
      <c r="I27" s="4"/>
      <c r="J27" s="4"/>
      <c r="K27" s="4"/>
      <c r="L27" s="4"/>
      <c r="M27" s="4"/>
      <c r="N27" s="4"/>
      <c r="O27" s="4"/>
      <c r="P27" s="20"/>
    </row>
    <row r="28" spans="1:16" s="25" customFormat="1" ht="22.5">
      <c r="A28" s="106">
        <v>13</v>
      </c>
      <c r="B28" s="2" t="s">
        <v>714</v>
      </c>
      <c r="C28" s="214" t="s">
        <v>713</v>
      </c>
      <c r="D28" s="13" t="s">
        <v>29</v>
      </c>
      <c r="E28" s="215">
        <v>1</v>
      </c>
      <c r="F28" s="33"/>
      <c r="G28" s="33"/>
      <c r="H28" s="4"/>
      <c r="I28" s="4"/>
      <c r="J28" s="4"/>
      <c r="K28" s="337"/>
      <c r="L28" s="338"/>
      <c r="M28" s="338"/>
      <c r="N28" s="338"/>
      <c r="O28" s="338"/>
      <c r="P28" s="339"/>
    </row>
    <row r="29" spans="1:16" s="25" customFormat="1" ht="14.25">
      <c r="A29" s="106">
        <f t="shared" si="0"/>
        <v>14</v>
      </c>
      <c r="B29" s="2" t="s">
        <v>712</v>
      </c>
      <c r="C29" s="214" t="s">
        <v>711</v>
      </c>
      <c r="D29" s="13" t="s">
        <v>29</v>
      </c>
      <c r="E29" s="215">
        <v>2</v>
      </c>
      <c r="F29" s="9"/>
      <c r="G29" s="33"/>
      <c r="H29" s="4"/>
      <c r="I29" s="4"/>
      <c r="J29" s="4"/>
      <c r="K29" s="337"/>
      <c r="L29" s="338"/>
      <c r="M29" s="338"/>
      <c r="N29" s="338"/>
      <c r="O29" s="338"/>
      <c r="P29" s="339"/>
    </row>
    <row r="30" spans="1:16" s="25" customFormat="1" ht="14.25">
      <c r="A30" s="106">
        <f t="shared" si="0"/>
        <v>15</v>
      </c>
      <c r="B30" s="2" t="s">
        <v>710</v>
      </c>
      <c r="C30" s="214" t="s">
        <v>733</v>
      </c>
      <c r="D30" s="13" t="s">
        <v>29</v>
      </c>
      <c r="E30" s="215">
        <v>2</v>
      </c>
      <c r="F30" s="9"/>
      <c r="G30" s="33"/>
      <c r="H30" s="4"/>
      <c r="I30" s="4"/>
      <c r="J30" s="4"/>
      <c r="K30" s="337"/>
      <c r="L30" s="338"/>
      <c r="M30" s="338"/>
      <c r="N30" s="338"/>
      <c r="O30" s="338"/>
      <c r="P30" s="339"/>
    </row>
    <row r="31" spans="1:16" s="25" customFormat="1" ht="14.25">
      <c r="A31" s="106">
        <f t="shared" si="0"/>
        <v>16</v>
      </c>
      <c r="B31" s="2" t="s">
        <v>732</v>
      </c>
      <c r="C31" s="214" t="s">
        <v>731</v>
      </c>
      <c r="D31" s="13" t="s">
        <v>29</v>
      </c>
      <c r="E31" s="215">
        <v>20</v>
      </c>
      <c r="F31" s="33"/>
      <c r="G31" s="33"/>
      <c r="H31" s="4"/>
      <c r="I31" s="4"/>
      <c r="J31" s="4"/>
      <c r="K31" s="337"/>
      <c r="L31" s="338"/>
      <c r="M31" s="338"/>
      <c r="N31" s="338"/>
      <c r="O31" s="338"/>
      <c r="P31" s="339"/>
    </row>
    <row r="32" spans="1:16" s="25" customFormat="1" ht="14.25">
      <c r="A32" s="106">
        <f t="shared" si="0"/>
        <v>17</v>
      </c>
      <c r="B32" s="2" t="s">
        <v>730</v>
      </c>
      <c r="C32" s="214"/>
      <c r="D32" s="13" t="s">
        <v>29</v>
      </c>
      <c r="E32" s="215">
        <v>20</v>
      </c>
      <c r="F32" s="9"/>
      <c r="G32" s="108"/>
      <c r="H32" s="4"/>
      <c r="I32" s="4"/>
      <c r="J32" s="4"/>
      <c r="K32" s="337"/>
      <c r="L32" s="338"/>
      <c r="M32" s="338"/>
      <c r="N32" s="338"/>
      <c r="O32" s="338"/>
      <c r="P32" s="339"/>
    </row>
    <row r="33" spans="1:16" s="25" customFormat="1" ht="14.25">
      <c r="A33" s="106">
        <f t="shared" si="0"/>
        <v>18</v>
      </c>
      <c r="B33" s="2" t="s">
        <v>709</v>
      </c>
      <c r="C33" s="214" t="s">
        <v>708</v>
      </c>
      <c r="D33" s="13" t="s">
        <v>29</v>
      </c>
      <c r="E33" s="215">
        <v>10</v>
      </c>
      <c r="F33" s="9"/>
      <c r="G33" s="33"/>
      <c r="H33" s="4"/>
      <c r="I33" s="4"/>
      <c r="J33" s="4"/>
      <c r="K33" s="337"/>
      <c r="L33" s="338"/>
      <c r="M33" s="338"/>
      <c r="N33" s="338"/>
      <c r="O33" s="338"/>
      <c r="P33" s="339"/>
    </row>
    <row r="34" spans="1:16" s="25" customFormat="1" ht="14.25">
      <c r="A34" s="106">
        <f t="shared" si="0"/>
        <v>19</v>
      </c>
      <c r="B34" s="2" t="s">
        <v>729</v>
      </c>
      <c r="C34" s="214"/>
      <c r="D34" s="13" t="s">
        <v>29</v>
      </c>
      <c r="E34" s="215">
        <v>1</v>
      </c>
      <c r="F34" s="9"/>
      <c r="G34" s="33"/>
      <c r="H34" s="4"/>
      <c r="I34" s="4"/>
      <c r="J34" s="4"/>
      <c r="K34" s="337"/>
      <c r="L34" s="338"/>
      <c r="M34" s="338"/>
      <c r="N34" s="338"/>
      <c r="O34" s="338"/>
      <c r="P34" s="339"/>
    </row>
    <row r="35" spans="1:16" s="25" customFormat="1" ht="22.5">
      <c r="A35" s="106">
        <f t="shared" si="0"/>
        <v>20</v>
      </c>
      <c r="B35" s="2" t="s">
        <v>707</v>
      </c>
      <c r="C35" s="214" t="s">
        <v>706</v>
      </c>
      <c r="D35" s="13" t="s">
        <v>42</v>
      </c>
      <c r="E35" s="14">
        <v>290</v>
      </c>
      <c r="F35" s="9"/>
      <c r="G35" s="33"/>
      <c r="H35" s="4"/>
      <c r="I35" s="4"/>
      <c r="J35" s="4"/>
      <c r="K35" s="337"/>
      <c r="L35" s="338"/>
      <c r="M35" s="338"/>
      <c r="N35" s="338"/>
      <c r="O35" s="338"/>
      <c r="P35" s="339"/>
    </row>
    <row r="36" spans="1:16" s="25" customFormat="1" ht="14.25">
      <c r="A36" s="106">
        <f t="shared" si="0"/>
        <v>21</v>
      </c>
      <c r="B36" s="2" t="s">
        <v>705</v>
      </c>
      <c r="C36" s="214" t="s">
        <v>704</v>
      </c>
      <c r="D36" s="13" t="s">
        <v>29</v>
      </c>
      <c r="E36" s="215">
        <v>9</v>
      </c>
      <c r="F36" s="9"/>
      <c r="G36" s="33"/>
      <c r="H36" s="4"/>
      <c r="I36" s="4"/>
      <c r="J36" s="4"/>
      <c r="K36" s="337"/>
      <c r="L36" s="338"/>
      <c r="M36" s="338"/>
      <c r="N36" s="338"/>
      <c r="O36" s="338"/>
      <c r="P36" s="339"/>
    </row>
    <row r="37" spans="1:16" s="25" customFormat="1" ht="14.25">
      <c r="A37" s="106">
        <f t="shared" si="0"/>
        <v>22</v>
      </c>
      <c r="B37" s="2" t="s">
        <v>703</v>
      </c>
      <c r="C37" s="214" t="s">
        <v>702</v>
      </c>
      <c r="D37" s="13" t="s">
        <v>29</v>
      </c>
      <c r="E37" s="215">
        <v>1</v>
      </c>
      <c r="F37" s="33"/>
      <c r="G37" s="33"/>
      <c r="H37" s="4"/>
      <c r="I37" s="4"/>
      <c r="J37" s="4"/>
      <c r="K37" s="337"/>
      <c r="L37" s="338"/>
      <c r="M37" s="338"/>
      <c r="N37" s="338"/>
      <c r="O37" s="338"/>
      <c r="P37" s="339"/>
    </row>
    <row r="38" spans="1:16" s="25" customFormat="1" ht="33.75">
      <c r="A38" s="106">
        <f t="shared" si="0"/>
        <v>23</v>
      </c>
      <c r="B38" s="2" t="s">
        <v>701</v>
      </c>
      <c r="C38" s="214" t="s">
        <v>728</v>
      </c>
      <c r="D38" s="13" t="s">
        <v>29</v>
      </c>
      <c r="E38" s="215">
        <v>1</v>
      </c>
      <c r="F38" s="9"/>
      <c r="G38" s="33"/>
      <c r="H38" s="4"/>
      <c r="I38" s="4"/>
      <c r="J38" s="4"/>
      <c r="K38" s="337"/>
      <c r="L38" s="338"/>
      <c r="M38" s="338"/>
      <c r="N38" s="338"/>
      <c r="O38" s="338"/>
      <c r="P38" s="339"/>
    </row>
    <row r="39" spans="1:16" s="25" customFormat="1" ht="14.25">
      <c r="A39" s="106">
        <f t="shared" si="0"/>
        <v>24</v>
      </c>
      <c r="B39" s="2" t="s">
        <v>727</v>
      </c>
      <c r="C39" s="214"/>
      <c r="D39" s="13" t="s">
        <v>42</v>
      </c>
      <c r="E39" s="14">
        <v>480</v>
      </c>
      <c r="F39" s="9"/>
      <c r="G39" s="4"/>
      <c r="H39" s="4"/>
      <c r="I39" s="4"/>
      <c r="J39" s="4"/>
      <c r="K39" s="337"/>
      <c r="L39" s="338"/>
      <c r="M39" s="338"/>
      <c r="N39" s="338"/>
      <c r="O39" s="338"/>
      <c r="P39" s="339"/>
    </row>
    <row r="40" spans="1:16" s="25" customFormat="1" ht="22.5">
      <c r="A40" s="106">
        <f t="shared" si="0"/>
        <v>25</v>
      </c>
      <c r="B40" s="2" t="s">
        <v>726</v>
      </c>
      <c r="C40" s="214" t="s">
        <v>725</v>
      </c>
      <c r="D40" s="13" t="s">
        <v>42</v>
      </c>
      <c r="E40" s="14">
        <v>1050</v>
      </c>
      <c r="F40" s="9"/>
      <c r="G40" s="4"/>
      <c r="H40" s="4"/>
      <c r="I40" s="4"/>
      <c r="J40" s="4"/>
      <c r="K40" s="337"/>
      <c r="L40" s="338"/>
      <c r="M40" s="338"/>
      <c r="N40" s="338"/>
      <c r="O40" s="338"/>
      <c r="P40" s="339"/>
    </row>
    <row r="41" spans="1:16" s="25" customFormat="1" ht="22.5">
      <c r="A41" s="106">
        <f t="shared" si="0"/>
        <v>26</v>
      </c>
      <c r="B41" s="2" t="s">
        <v>636</v>
      </c>
      <c r="C41" s="214" t="s">
        <v>724</v>
      </c>
      <c r="D41" s="13" t="s">
        <v>42</v>
      </c>
      <c r="E41" s="14">
        <v>680</v>
      </c>
      <c r="F41" s="9"/>
      <c r="G41" s="4"/>
      <c r="H41" s="4"/>
      <c r="I41" s="4"/>
      <c r="J41" s="4"/>
      <c r="K41" s="337"/>
      <c r="L41" s="338"/>
      <c r="M41" s="338"/>
      <c r="N41" s="338"/>
      <c r="O41" s="338"/>
      <c r="P41" s="339"/>
    </row>
    <row r="42" spans="1:16" s="25" customFormat="1" ht="33.75">
      <c r="A42" s="106">
        <f t="shared" si="0"/>
        <v>27</v>
      </c>
      <c r="B42" s="2" t="s">
        <v>723</v>
      </c>
      <c r="C42" s="214" t="s">
        <v>722</v>
      </c>
      <c r="D42" s="13" t="s">
        <v>42</v>
      </c>
      <c r="E42" s="14">
        <v>50</v>
      </c>
      <c r="F42" s="9"/>
      <c r="G42" s="33"/>
      <c r="H42" s="4"/>
      <c r="I42" s="4"/>
      <c r="J42" s="4"/>
      <c r="K42" s="337"/>
      <c r="L42" s="338"/>
      <c r="M42" s="338"/>
      <c r="N42" s="338"/>
      <c r="O42" s="338"/>
      <c r="P42" s="339"/>
    </row>
    <row r="43" spans="1:16" s="25" customFormat="1" ht="14.25">
      <c r="A43" s="106">
        <f t="shared" si="0"/>
        <v>28</v>
      </c>
      <c r="B43" s="2" t="s">
        <v>721</v>
      </c>
      <c r="C43" s="214"/>
      <c r="D43" s="13" t="s">
        <v>42</v>
      </c>
      <c r="E43" s="14">
        <v>500</v>
      </c>
      <c r="F43" s="9"/>
      <c r="G43" s="33"/>
      <c r="H43" s="4"/>
      <c r="I43" s="4"/>
      <c r="J43" s="4"/>
      <c r="K43" s="337"/>
      <c r="L43" s="338"/>
      <c r="M43" s="338"/>
      <c r="N43" s="338"/>
      <c r="O43" s="338"/>
      <c r="P43" s="339"/>
    </row>
    <row r="44" spans="1:16" s="25" customFormat="1" ht="14.25">
      <c r="A44" s="106">
        <f t="shared" si="0"/>
        <v>29</v>
      </c>
      <c r="B44" s="2" t="s">
        <v>667</v>
      </c>
      <c r="C44" s="214"/>
      <c r="D44" s="13" t="s">
        <v>29</v>
      </c>
      <c r="E44" s="215">
        <v>5</v>
      </c>
      <c r="F44" s="9"/>
      <c r="G44" s="108"/>
      <c r="H44" s="4"/>
      <c r="I44" s="4"/>
      <c r="J44" s="4"/>
      <c r="K44" s="337"/>
      <c r="L44" s="338"/>
      <c r="M44" s="338"/>
      <c r="N44" s="338"/>
      <c r="O44" s="338"/>
      <c r="P44" s="339"/>
    </row>
    <row r="45" spans="1:16" s="25" customFormat="1" ht="14.25">
      <c r="A45" s="106">
        <f t="shared" si="0"/>
        <v>30</v>
      </c>
      <c r="B45" s="2" t="s">
        <v>668</v>
      </c>
      <c r="C45" s="214"/>
      <c r="D45" s="13" t="s">
        <v>29</v>
      </c>
      <c r="E45" s="215">
        <v>3</v>
      </c>
      <c r="F45" s="9"/>
      <c r="G45" s="108"/>
      <c r="H45" s="4"/>
      <c r="I45" s="4"/>
      <c r="J45" s="4"/>
      <c r="K45" s="337"/>
      <c r="L45" s="338"/>
      <c r="M45" s="338"/>
      <c r="N45" s="338"/>
      <c r="O45" s="338"/>
      <c r="P45" s="339"/>
    </row>
    <row r="46" spans="1:16" s="25" customFormat="1" ht="14.25">
      <c r="A46" s="106">
        <f t="shared" si="0"/>
        <v>31</v>
      </c>
      <c r="B46" s="2" t="s">
        <v>718</v>
      </c>
      <c r="C46" s="214"/>
      <c r="D46" s="13" t="s">
        <v>30</v>
      </c>
      <c r="E46" s="215">
        <v>1</v>
      </c>
      <c r="F46" s="9"/>
      <c r="G46" s="108"/>
      <c r="H46" s="4"/>
      <c r="I46" s="4"/>
      <c r="J46" s="4"/>
      <c r="K46" s="337"/>
      <c r="L46" s="338"/>
      <c r="M46" s="338"/>
      <c r="N46" s="338"/>
      <c r="O46" s="338"/>
      <c r="P46" s="339"/>
    </row>
    <row r="47" spans="1:16" s="25" customFormat="1" ht="14.25">
      <c r="A47" s="106"/>
      <c r="B47" s="236" t="s">
        <v>493</v>
      </c>
      <c r="C47" s="237"/>
      <c r="D47" s="13"/>
      <c r="E47" s="10"/>
      <c r="F47" s="33"/>
      <c r="G47" s="33"/>
      <c r="H47" s="4"/>
      <c r="I47" s="4"/>
      <c r="J47" s="4"/>
      <c r="K47" s="4"/>
      <c r="L47" s="4"/>
      <c r="M47" s="4"/>
      <c r="N47" s="4"/>
      <c r="O47" s="4"/>
      <c r="P47" s="20"/>
    </row>
    <row r="48" spans="1:16" s="25" customFormat="1" ht="22.5">
      <c r="A48" s="106">
        <v>32</v>
      </c>
      <c r="B48" s="2" t="s">
        <v>1106</v>
      </c>
      <c r="C48" s="214" t="s">
        <v>717</v>
      </c>
      <c r="D48" s="13" t="s">
        <v>29</v>
      </c>
      <c r="E48" s="215">
        <v>1</v>
      </c>
      <c r="F48" s="33"/>
      <c r="G48" s="33"/>
      <c r="H48" s="4"/>
      <c r="I48" s="4"/>
      <c r="J48" s="4"/>
      <c r="K48" s="337"/>
      <c r="L48" s="338"/>
      <c r="M48" s="338"/>
      <c r="N48" s="338"/>
      <c r="O48" s="338"/>
      <c r="P48" s="339"/>
    </row>
    <row r="49" spans="1:16" s="25" customFormat="1" ht="14.25">
      <c r="A49" s="106">
        <f t="shared" si="0"/>
        <v>33</v>
      </c>
      <c r="B49" s="2" t="s">
        <v>1107</v>
      </c>
      <c r="C49" s="214" t="s">
        <v>716</v>
      </c>
      <c r="D49" s="13" t="s">
        <v>29</v>
      </c>
      <c r="E49" s="215">
        <v>1</v>
      </c>
      <c r="F49" s="33"/>
      <c r="G49" s="33"/>
      <c r="H49" s="4"/>
      <c r="I49" s="4"/>
      <c r="J49" s="4"/>
      <c r="K49" s="337"/>
      <c r="L49" s="338"/>
      <c r="M49" s="338"/>
      <c r="N49" s="338"/>
      <c r="O49" s="338"/>
      <c r="P49" s="339"/>
    </row>
    <row r="50" spans="1:16" s="25" customFormat="1" ht="14.25">
      <c r="A50" s="106">
        <f t="shared" si="0"/>
        <v>34</v>
      </c>
      <c r="B50" s="2" t="s">
        <v>1108</v>
      </c>
      <c r="C50" s="214" t="s">
        <v>715</v>
      </c>
      <c r="D50" s="13" t="s">
        <v>29</v>
      </c>
      <c r="E50" s="215">
        <v>1</v>
      </c>
      <c r="F50" s="9"/>
      <c r="G50" s="33"/>
      <c r="H50" s="4"/>
      <c r="I50" s="4"/>
      <c r="J50" s="4"/>
      <c r="K50" s="337"/>
      <c r="L50" s="338"/>
      <c r="M50" s="338"/>
      <c r="N50" s="338"/>
      <c r="O50" s="338"/>
      <c r="P50" s="339"/>
    </row>
    <row r="51" spans="1:16" s="25" customFormat="1" ht="22.5">
      <c r="A51" s="106">
        <f t="shared" si="0"/>
        <v>35</v>
      </c>
      <c r="B51" s="2" t="s">
        <v>1109</v>
      </c>
      <c r="C51" s="214" t="s">
        <v>713</v>
      </c>
      <c r="D51" s="13" t="s">
        <v>29</v>
      </c>
      <c r="E51" s="215">
        <v>1</v>
      </c>
      <c r="F51" s="33"/>
      <c r="G51" s="33"/>
      <c r="H51" s="4"/>
      <c r="I51" s="4"/>
      <c r="J51" s="4"/>
      <c r="K51" s="337"/>
      <c r="L51" s="338"/>
      <c r="M51" s="338"/>
      <c r="N51" s="338"/>
      <c r="O51" s="338"/>
      <c r="P51" s="339"/>
    </row>
    <row r="52" spans="1:16" s="25" customFormat="1" ht="14.25">
      <c r="A52" s="106">
        <f t="shared" si="0"/>
        <v>36</v>
      </c>
      <c r="B52" s="2" t="s">
        <v>712</v>
      </c>
      <c r="C52" s="214" t="s">
        <v>711</v>
      </c>
      <c r="D52" s="13" t="s">
        <v>29</v>
      </c>
      <c r="E52" s="215">
        <v>1</v>
      </c>
      <c r="F52" s="9"/>
      <c r="G52" s="33"/>
      <c r="H52" s="4"/>
      <c r="I52" s="4"/>
      <c r="J52" s="4"/>
      <c r="K52" s="337"/>
      <c r="L52" s="338"/>
      <c r="M52" s="338"/>
      <c r="N52" s="338"/>
      <c r="O52" s="338"/>
      <c r="P52" s="339"/>
    </row>
    <row r="53" spans="1:16" s="25" customFormat="1" ht="14.25">
      <c r="A53" s="106">
        <f t="shared" si="0"/>
        <v>37</v>
      </c>
      <c r="B53" s="2" t="s">
        <v>710</v>
      </c>
      <c r="C53" s="214" t="s">
        <v>695</v>
      </c>
      <c r="D53" s="13" t="s">
        <v>29</v>
      </c>
      <c r="E53" s="215">
        <v>2</v>
      </c>
      <c r="F53" s="9"/>
      <c r="G53" s="33"/>
      <c r="H53" s="4"/>
      <c r="I53" s="4"/>
      <c r="J53" s="4"/>
      <c r="K53" s="337"/>
      <c r="L53" s="338"/>
      <c r="M53" s="338"/>
      <c r="N53" s="338"/>
      <c r="O53" s="338"/>
      <c r="P53" s="339"/>
    </row>
    <row r="54" spans="1:16" s="25" customFormat="1" ht="14.25">
      <c r="A54" s="106">
        <f t="shared" si="0"/>
        <v>38</v>
      </c>
      <c r="B54" s="2" t="s">
        <v>709</v>
      </c>
      <c r="C54" s="214" t="s">
        <v>708</v>
      </c>
      <c r="D54" s="13" t="s">
        <v>29</v>
      </c>
      <c r="E54" s="215">
        <v>4</v>
      </c>
      <c r="F54" s="9"/>
      <c r="G54" s="33"/>
      <c r="H54" s="4"/>
      <c r="I54" s="4"/>
      <c r="J54" s="4"/>
      <c r="K54" s="337"/>
      <c r="L54" s="338"/>
      <c r="M54" s="338"/>
      <c r="N54" s="338"/>
      <c r="O54" s="338"/>
      <c r="P54" s="339"/>
    </row>
    <row r="55" spans="1:16" s="25" customFormat="1" ht="22.5">
      <c r="A55" s="106">
        <f t="shared" si="0"/>
        <v>39</v>
      </c>
      <c r="B55" s="2" t="s">
        <v>707</v>
      </c>
      <c r="C55" s="214" t="s">
        <v>706</v>
      </c>
      <c r="D55" s="13" t="s">
        <v>42</v>
      </c>
      <c r="E55" s="14">
        <v>360</v>
      </c>
      <c r="F55" s="9"/>
      <c r="G55" s="33"/>
      <c r="H55" s="4"/>
      <c r="I55" s="4"/>
      <c r="J55" s="4"/>
      <c r="K55" s="337"/>
      <c r="L55" s="338"/>
      <c r="M55" s="338"/>
      <c r="N55" s="338"/>
      <c r="O55" s="338"/>
      <c r="P55" s="339"/>
    </row>
    <row r="56" spans="1:16" s="25" customFormat="1" ht="14.25">
      <c r="A56" s="106">
        <f t="shared" si="0"/>
        <v>40</v>
      </c>
      <c r="B56" s="2" t="s">
        <v>705</v>
      </c>
      <c r="C56" s="214" t="s">
        <v>704</v>
      </c>
      <c r="D56" s="13" t="s">
        <v>29</v>
      </c>
      <c r="E56" s="215">
        <v>5</v>
      </c>
      <c r="F56" s="9"/>
      <c r="G56" s="33"/>
      <c r="H56" s="4"/>
      <c r="I56" s="4"/>
      <c r="J56" s="4"/>
      <c r="K56" s="337"/>
      <c r="L56" s="338"/>
      <c r="M56" s="338"/>
      <c r="N56" s="338"/>
      <c r="O56" s="338"/>
      <c r="P56" s="339"/>
    </row>
    <row r="57" spans="1:16" s="25" customFormat="1" ht="14.25">
      <c r="A57" s="106">
        <f t="shared" si="0"/>
        <v>41</v>
      </c>
      <c r="B57" s="2" t="s">
        <v>1110</v>
      </c>
      <c r="C57" s="214" t="s">
        <v>702</v>
      </c>
      <c r="D57" s="13" t="s">
        <v>29</v>
      </c>
      <c r="E57" s="215">
        <v>1</v>
      </c>
      <c r="F57" s="33"/>
      <c r="G57" s="33"/>
      <c r="H57" s="4"/>
      <c r="I57" s="4"/>
      <c r="J57" s="4"/>
      <c r="K57" s="337"/>
      <c r="L57" s="338"/>
      <c r="M57" s="338"/>
      <c r="N57" s="338"/>
      <c r="O57" s="338"/>
      <c r="P57" s="339"/>
    </row>
    <row r="58" spans="1:16" s="25" customFormat="1" ht="33.75">
      <c r="A58" s="106">
        <f t="shared" si="0"/>
        <v>42</v>
      </c>
      <c r="B58" s="2" t="s">
        <v>701</v>
      </c>
      <c r="C58" s="214" t="s">
        <v>728</v>
      </c>
      <c r="D58" s="13" t="s">
        <v>29</v>
      </c>
      <c r="E58" s="215">
        <v>1</v>
      </c>
      <c r="F58" s="9"/>
      <c r="G58" s="33"/>
      <c r="H58" s="4"/>
      <c r="I58" s="4"/>
      <c r="J58" s="4"/>
      <c r="K58" s="337"/>
      <c r="L58" s="338"/>
      <c r="M58" s="338"/>
      <c r="N58" s="338"/>
      <c r="O58" s="338"/>
      <c r="P58" s="339"/>
    </row>
    <row r="59" spans="1:16" s="25" customFormat="1" ht="14.25">
      <c r="A59" s="106">
        <f t="shared" si="0"/>
        <v>43</v>
      </c>
      <c r="B59" s="2" t="s">
        <v>727</v>
      </c>
      <c r="C59" s="214"/>
      <c r="D59" s="13" t="s">
        <v>42</v>
      </c>
      <c r="E59" s="14">
        <v>540</v>
      </c>
      <c r="F59" s="9"/>
      <c r="G59" s="4"/>
      <c r="H59" s="4"/>
      <c r="I59" s="4"/>
      <c r="J59" s="4"/>
      <c r="K59" s="337"/>
      <c r="L59" s="338"/>
      <c r="M59" s="338"/>
      <c r="N59" s="338"/>
      <c r="O59" s="338"/>
      <c r="P59" s="339"/>
    </row>
    <row r="60" spans="1:16" s="25" customFormat="1" ht="22.5">
      <c r="A60" s="106">
        <f t="shared" si="0"/>
        <v>44</v>
      </c>
      <c r="B60" s="2" t="s">
        <v>726</v>
      </c>
      <c r="C60" s="214" t="s">
        <v>725</v>
      </c>
      <c r="D60" s="13" t="s">
        <v>42</v>
      </c>
      <c r="E60" s="14">
        <v>980</v>
      </c>
      <c r="F60" s="9"/>
      <c r="G60" s="4"/>
      <c r="H60" s="4"/>
      <c r="I60" s="4"/>
      <c r="J60" s="4"/>
      <c r="K60" s="337"/>
      <c r="L60" s="338"/>
      <c r="M60" s="338"/>
      <c r="N60" s="338"/>
      <c r="O60" s="338"/>
      <c r="P60" s="339"/>
    </row>
    <row r="61" spans="1:16" s="25" customFormat="1" ht="22.5">
      <c r="A61" s="106">
        <f t="shared" si="0"/>
        <v>45</v>
      </c>
      <c r="B61" s="2" t="s">
        <v>636</v>
      </c>
      <c r="C61" s="214" t="s">
        <v>724</v>
      </c>
      <c r="D61" s="13" t="s">
        <v>42</v>
      </c>
      <c r="E61" s="14">
        <v>520</v>
      </c>
      <c r="F61" s="9"/>
      <c r="G61" s="4"/>
      <c r="H61" s="4"/>
      <c r="I61" s="4"/>
      <c r="J61" s="4"/>
      <c r="K61" s="337"/>
      <c r="L61" s="338"/>
      <c r="M61" s="338"/>
      <c r="N61" s="338"/>
      <c r="O61" s="338"/>
      <c r="P61" s="339"/>
    </row>
    <row r="62" spans="1:16" s="25" customFormat="1" ht="33.75">
      <c r="A62" s="106">
        <f t="shared" si="0"/>
        <v>46</v>
      </c>
      <c r="B62" s="2" t="s">
        <v>723</v>
      </c>
      <c r="C62" s="214" t="s">
        <v>722</v>
      </c>
      <c r="D62" s="13" t="s">
        <v>42</v>
      </c>
      <c r="E62" s="14">
        <v>50</v>
      </c>
      <c r="F62" s="9"/>
      <c r="G62" s="33"/>
      <c r="H62" s="4"/>
      <c r="I62" s="4"/>
      <c r="J62" s="4"/>
      <c r="K62" s="337"/>
      <c r="L62" s="338"/>
      <c r="M62" s="338"/>
      <c r="N62" s="338"/>
      <c r="O62" s="338"/>
      <c r="P62" s="339"/>
    </row>
    <row r="63" spans="1:16" s="25" customFormat="1" ht="14.25">
      <c r="A63" s="106">
        <f t="shared" si="0"/>
        <v>47</v>
      </c>
      <c r="B63" s="2" t="s">
        <v>721</v>
      </c>
      <c r="C63" s="214"/>
      <c r="D63" s="13" t="s">
        <v>42</v>
      </c>
      <c r="E63" s="14">
        <v>320</v>
      </c>
      <c r="F63" s="9"/>
      <c r="G63" s="33"/>
      <c r="H63" s="4"/>
      <c r="I63" s="4"/>
      <c r="J63" s="4"/>
      <c r="K63" s="337"/>
      <c r="L63" s="338"/>
      <c r="M63" s="338"/>
      <c r="N63" s="338"/>
      <c r="O63" s="338"/>
      <c r="P63" s="339"/>
    </row>
    <row r="64" spans="1:16" s="25" customFormat="1" ht="14.25">
      <c r="A64" s="106">
        <f t="shared" si="0"/>
        <v>48</v>
      </c>
      <c r="B64" s="2" t="s">
        <v>720</v>
      </c>
      <c r="C64" s="214"/>
      <c r="D64" s="13" t="s">
        <v>29</v>
      </c>
      <c r="E64" s="215">
        <v>5</v>
      </c>
      <c r="F64" s="9"/>
      <c r="G64" s="108"/>
      <c r="H64" s="4"/>
      <c r="I64" s="4"/>
      <c r="J64" s="4"/>
      <c r="K64" s="337"/>
      <c r="L64" s="338"/>
      <c r="M64" s="338"/>
      <c r="N64" s="338"/>
      <c r="O64" s="338"/>
      <c r="P64" s="339"/>
    </row>
    <row r="65" spans="1:27" s="25" customFormat="1" ht="14.25">
      <c r="A65" s="106">
        <f t="shared" si="0"/>
        <v>49</v>
      </c>
      <c r="B65" s="2" t="s">
        <v>719</v>
      </c>
      <c r="C65" s="214"/>
      <c r="D65" s="13" t="s">
        <v>29</v>
      </c>
      <c r="E65" s="215">
        <v>3</v>
      </c>
      <c r="F65" s="9"/>
      <c r="G65" s="108"/>
      <c r="H65" s="4"/>
      <c r="I65" s="4"/>
      <c r="J65" s="4"/>
      <c r="K65" s="337"/>
      <c r="L65" s="338"/>
      <c r="M65" s="338"/>
      <c r="N65" s="338"/>
      <c r="O65" s="338"/>
      <c r="P65" s="339"/>
    </row>
    <row r="66" spans="1:27" s="25" customFormat="1" ht="14.25">
      <c r="A66" s="106">
        <f t="shared" si="0"/>
        <v>50</v>
      </c>
      <c r="B66" s="2" t="s">
        <v>718</v>
      </c>
      <c r="C66" s="214"/>
      <c r="D66" s="13" t="s">
        <v>30</v>
      </c>
      <c r="E66" s="215">
        <v>1</v>
      </c>
      <c r="F66" s="9"/>
      <c r="G66" s="108"/>
      <c r="H66" s="4"/>
      <c r="I66" s="4"/>
      <c r="J66" s="4"/>
      <c r="K66" s="337"/>
      <c r="L66" s="338"/>
      <c r="M66" s="338"/>
      <c r="N66" s="338"/>
      <c r="O66" s="338"/>
      <c r="P66" s="339"/>
    </row>
    <row r="67" spans="1:27" s="25" customFormat="1" ht="14.25">
      <c r="A67" s="106"/>
      <c r="B67" s="236" t="s">
        <v>738</v>
      </c>
      <c r="C67" s="237"/>
      <c r="D67" s="13"/>
      <c r="E67" s="10"/>
      <c r="F67" s="33"/>
      <c r="G67" s="33"/>
      <c r="H67" s="4"/>
      <c r="I67" s="4"/>
      <c r="J67" s="4"/>
      <c r="K67" s="4"/>
      <c r="L67" s="4"/>
      <c r="M67" s="4"/>
      <c r="N67" s="4"/>
      <c r="O67" s="4"/>
      <c r="P67" s="20"/>
    </row>
    <row r="68" spans="1:27" s="25" customFormat="1" ht="14.25">
      <c r="A68" s="106">
        <v>51</v>
      </c>
      <c r="B68" s="2" t="s">
        <v>714</v>
      </c>
      <c r="C68" s="214" t="s">
        <v>737</v>
      </c>
      <c r="D68" s="13" t="s">
        <v>29</v>
      </c>
      <c r="E68" s="215">
        <v>1</v>
      </c>
      <c r="F68" s="9"/>
      <c r="G68" s="33"/>
      <c r="H68" s="4"/>
      <c r="I68" s="4"/>
      <c r="J68" s="4"/>
      <c r="K68" s="337"/>
      <c r="L68" s="338"/>
      <c r="M68" s="338"/>
      <c r="N68" s="338"/>
      <c r="O68" s="338"/>
      <c r="P68" s="339"/>
    </row>
    <row r="69" spans="1:27" s="25" customFormat="1" ht="14.25">
      <c r="A69" s="106">
        <f t="shared" si="0"/>
        <v>52</v>
      </c>
      <c r="B69" s="2" t="s">
        <v>710</v>
      </c>
      <c r="C69" s="214" t="s">
        <v>695</v>
      </c>
      <c r="D69" s="13" t="s">
        <v>29</v>
      </c>
      <c r="E69" s="215">
        <v>2</v>
      </c>
      <c r="F69" s="9"/>
      <c r="G69" s="33"/>
      <c r="H69" s="4"/>
      <c r="I69" s="4"/>
      <c r="J69" s="4"/>
      <c r="K69" s="337"/>
      <c r="L69" s="338"/>
      <c r="M69" s="338"/>
      <c r="N69" s="338"/>
      <c r="O69" s="338"/>
      <c r="P69" s="339"/>
    </row>
    <row r="70" spans="1:27" s="25" customFormat="1" ht="14.25">
      <c r="A70" s="106">
        <f t="shared" si="0"/>
        <v>53</v>
      </c>
      <c r="B70" s="2" t="s">
        <v>1114</v>
      </c>
      <c r="C70" s="214" t="s">
        <v>731</v>
      </c>
      <c r="D70" s="13" t="s">
        <v>29</v>
      </c>
      <c r="E70" s="215">
        <v>1</v>
      </c>
      <c r="F70" s="33"/>
      <c r="G70" s="33"/>
      <c r="H70" s="4"/>
      <c r="I70" s="4"/>
      <c r="J70" s="4"/>
      <c r="K70" s="337"/>
      <c r="L70" s="338"/>
      <c r="M70" s="338"/>
      <c r="N70" s="338"/>
      <c r="O70" s="338"/>
      <c r="P70" s="339"/>
    </row>
    <row r="71" spans="1:27" s="25" customFormat="1" ht="14.25">
      <c r="A71" s="106">
        <f t="shared" si="0"/>
        <v>54</v>
      </c>
      <c r="B71" s="2" t="s">
        <v>703</v>
      </c>
      <c r="C71" s="214" t="s">
        <v>702</v>
      </c>
      <c r="D71" s="13" t="s">
        <v>29</v>
      </c>
      <c r="E71" s="215">
        <v>1</v>
      </c>
      <c r="F71" s="33"/>
      <c r="G71" s="33"/>
      <c r="H71" s="4"/>
      <c r="I71" s="4"/>
      <c r="J71" s="4"/>
      <c r="K71" s="337"/>
      <c r="L71" s="338"/>
      <c r="M71" s="338"/>
      <c r="N71" s="338"/>
      <c r="O71" s="338"/>
      <c r="P71" s="339"/>
    </row>
    <row r="72" spans="1:27" s="25" customFormat="1" ht="22.5">
      <c r="A72" s="106">
        <f t="shared" si="0"/>
        <v>55</v>
      </c>
      <c r="B72" s="2" t="s">
        <v>726</v>
      </c>
      <c r="C72" s="214" t="s">
        <v>725</v>
      </c>
      <c r="D72" s="13" t="s">
        <v>42</v>
      </c>
      <c r="E72" s="14">
        <v>5</v>
      </c>
      <c r="F72" s="9"/>
      <c r="G72" s="4"/>
      <c r="H72" s="4"/>
      <c r="I72" s="4"/>
      <c r="J72" s="4"/>
      <c r="K72" s="337"/>
      <c r="L72" s="338"/>
      <c r="M72" s="338"/>
      <c r="N72" s="338"/>
      <c r="O72" s="338"/>
      <c r="P72" s="339"/>
    </row>
    <row r="73" spans="1:27" s="25" customFormat="1" ht="24">
      <c r="A73" s="106">
        <f t="shared" si="0"/>
        <v>56</v>
      </c>
      <c r="B73" s="2" t="s">
        <v>736</v>
      </c>
      <c r="C73" s="214" t="s">
        <v>685</v>
      </c>
      <c r="D73" s="13" t="s">
        <v>42</v>
      </c>
      <c r="E73" s="14">
        <v>1000</v>
      </c>
      <c r="F73" s="9"/>
      <c r="G73" s="33"/>
      <c r="H73" s="4"/>
      <c r="I73" s="4"/>
      <c r="J73" s="4"/>
      <c r="K73" s="337"/>
      <c r="L73" s="338"/>
      <c r="M73" s="338"/>
      <c r="N73" s="338"/>
      <c r="O73" s="338"/>
      <c r="P73" s="339"/>
    </row>
    <row r="74" spans="1:27" s="25" customFormat="1" ht="33.75">
      <c r="A74" s="106">
        <f t="shared" si="0"/>
        <v>57</v>
      </c>
      <c r="B74" s="2" t="s">
        <v>723</v>
      </c>
      <c r="C74" s="214" t="s">
        <v>722</v>
      </c>
      <c r="D74" s="13" t="s">
        <v>42</v>
      </c>
      <c r="E74" s="14">
        <v>5</v>
      </c>
      <c r="F74" s="9"/>
      <c r="G74" s="33"/>
      <c r="H74" s="4"/>
      <c r="I74" s="4"/>
      <c r="J74" s="4"/>
      <c r="K74" s="337"/>
      <c r="L74" s="338"/>
      <c r="M74" s="338"/>
      <c r="N74" s="338"/>
      <c r="O74" s="338"/>
      <c r="P74" s="339"/>
    </row>
    <row r="75" spans="1:27" s="25" customFormat="1" ht="14.25">
      <c r="A75" s="106">
        <f t="shared" si="0"/>
        <v>58</v>
      </c>
      <c r="B75" s="2" t="s">
        <v>735</v>
      </c>
      <c r="C75" s="214"/>
      <c r="D75" s="13" t="s">
        <v>42</v>
      </c>
      <c r="E75" s="14">
        <v>7</v>
      </c>
      <c r="F75" s="9"/>
      <c r="G75" s="33"/>
      <c r="H75" s="4"/>
      <c r="I75" s="4"/>
      <c r="J75" s="4"/>
      <c r="K75" s="337"/>
      <c r="L75" s="338"/>
      <c r="M75" s="338"/>
      <c r="N75" s="338"/>
      <c r="O75" s="338"/>
      <c r="P75" s="339"/>
    </row>
    <row r="76" spans="1:27" s="25" customFormat="1" ht="14.25">
      <c r="A76" s="106">
        <f t="shared" si="0"/>
        <v>59</v>
      </c>
      <c r="B76" s="2" t="s">
        <v>718</v>
      </c>
      <c r="C76" s="214"/>
      <c r="D76" s="13" t="s">
        <v>30</v>
      </c>
      <c r="E76" s="215">
        <v>1</v>
      </c>
      <c r="F76" s="9"/>
      <c r="G76" s="108"/>
      <c r="H76" s="4"/>
      <c r="I76" s="4"/>
      <c r="J76" s="4"/>
      <c r="K76" s="337"/>
      <c r="L76" s="338"/>
      <c r="M76" s="338"/>
      <c r="N76" s="338"/>
      <c r="O76" s="338"/>
      <c r="P76" s="339"/>
    </row>
    <row r="77" spans="1:27" s="25" customFormat="1" ht="15" thickBot="1">
      <c r="A77" s="106">
        <f t="shared" si="0"/>
        <v>60</v>
      </c>
      <c r="B77" s="216" t="s">
        <v>230</v>
      </c>
      <c r="C77" s="217"/>
      <c r="D77" s="13" t="s">
        <v>30</v>
      </c>
      <c r="E77" s="215">
        <v>1</v>
      </c>
      <c r="F77" s="218"/>
      <c r="G77" s="218"/>
      <c r="H77" s="219"/>
      <c r="I77" s="219"/>
      <c r="J77" s="4"/>
      <c r="K77" s="337"/>
      <c r="L77" s="338"/>
      <c r="M77" s="338"/>
      <c r="N77" s="338"/>
      <c r="O77" s="338"/>
      <c r="P77" s="339"/>
    </row>
    <row r="78" spans="1:27" s="102" customFormat="1" ht="15.75" thickTop="1" thickBot="1">
      <c r="A78" s="181"/>
      <c r="B78" s="400" t="s">
        <v>1587</v>
      </c>
      <c r="C78" s="401"/>
      <c r="D78" s="401"/>
      <c r="E78" s="401"/>
      <c r="F78" s="401"/>
      <c r="G78" s="401"/>
      <c r="H78" s="401"/>
      <c r="I78" s="401"/>
      <c r="J78" s="401"/>
      <c r="K78" s="402"/>
      <c r="L78" s="182"/>
      <c r="M78" s="182"/>
      <c r="N78" s="182"/>
      <c r="O78" s="182"/>
      <c r="P78" s="183"/>
      <c r="Q78" s="25"/>
      <c r="R78" s="25"/>
      <c r="S78" s="25"/>
      <c r="T78" s="25"/>
      <c r="U78" s="25"/>
      <c r="V78" s="25"/>
      <c r="W78" s="25"/>
      <c r="X78" s="25"/>
      <c r="Y78" s="25"/>
      <c r="Z78" s="25"/>
      <c r="AA78" s="25"/>
    </row>
    <row r="79" spans="1:27" s="102" customFormat="1" ht="15" thickTop="1">
      <c r="A79" s="27"/>
      <c r="B79" s="3"/>
      <c r="C79" s="3"/>
      <c r="D79" s="27"/>
      <c r="E79" s="27"/>
      <c r="F79" s="27"/>
      <c r="G79" s="27"/>
      <c r="H79" s="27"/>
      <c r="I79" s="27"/>
      <c r="J79" s="27"/>
      <c r="K79" s="27"/>
      <c r="L79" s="27"/>
      <c r="M79" s="27"/>
      <c r="N79" s="27"/>
      <c r="O79" s="27"/>
      <c r="P79" s="27"/>
      <c r="Q79" s="25"/>
      <c r="R79" s="25"/>
      <c r="S79" s="25"/>
      <c r="T79" s="25"/>
      <c r="U79" s="25"/>
      <c r="V79" s="25"/>
      <c r="W79" s="25"/>
      <c r="X79" s="25"/>
      <c r="Y79" s="25"/>
      <c r="Z79" s="25"/>
      <c r="AA79" s="25"/>
    </row>
    <row r="80" spans="1:27" s="102" customFormat="1" ht="14.25">
      <c r="A80" s="27"/>
      <c r="B80" s="65"/>
      <c r="C80" s="65"/>
      <c r="D80" s="27"/>
      <c r="E80" s="27"/>
      <c r="F80" s="27"/>
      <c r="G80" s="27"/>
      <c r="H80" s="27"/>
      <c r="I80" s="27"/>
      <c r="J80" s="27"/>
      <c r="K80" s="27"/>
      <c r="L80" s="27"/>
      <c r="M80" s="27"/>
      <c r="N80" s="27"/>
      <c r="O80" s="27"/>
      <c r="P80" s="27"/>
      <c r="Q80" s="25"/>
      <c r="R80" s="25"/>
      <c r="S80" s="25"/>
      <c r="T80" s="25"/>
      <c r="U80" s="25"/>
      <c r="V80" s="25"/>
      <c r="W80" s="25"/>
      <c r="X80" s="25"/>
      <c r="Y80" s="25"/>
      <c r="Z80" s="25"/>
      <c r="AA80" s="25"/>
    </row>
    <row r="81" spans="1:27" s="27" customFormat="1" ht="14.25">
      <c r="A81" s="117"/>
      <c r="B81" s="172" t="s">
        <v>209</v>
      </c>
      <c r="C81" s="172"/>
      <c r="D81" s="117"/>
      <c r="E81" s="117"/>
      <c r="F81" s="117"/>
      <c r="G81" s="117"/>
      <c r="H81" s="117"/>
      <c r="I81" s="117"/>
      <c r="J81" s="102"/>
      <c r="K81" s="102"/>
      <c r="L81" s="102"/>
      <c r="M81" s="102"/>
      <c r="N81" s="102"/>
      <c r="O81" s="102"/>
      <c r="P81" s="102"/>
      <c r="Q81" s="26"/>
      <c r="R81" s="26"/>
      <c r="S81" s="26"/>
      <c r="T81" s="26"/>
      <c r="U81" s="26"/>
      <c r="V81" s="26"/>
      <c r="W81" s="26"/>
      <c r="X81" s="26"/>
      <c r="Y81" s="26"/>
      <c r="Z81" s="26"/>
      <c r="AA81" s="26"/>
    </row>
    <row r="82" spans="1:27" s="27" customFormat="1" ht="14.25">
      <c r="A82" s="117"/>
      <c r="B82" s="172"/>
      <c r="C82" s="172"/>
      <c r="D82" s="117"/>
      <c r="E82" s="117"/>
      <c r="F82" s="117"/>
      <c r="G82" s="117"/>
      <c r="H82" s="117"/>
      <c r="I82" s="117"/>
      <c r="J82" s="102"/>
      <c r="K82" s="102"/>
      <c r="L82" s="102"/>
      <c r="M82" s="102"/>
      <c r="N82" s="102"/>
      <c r="O82" s="102"/>
      <c r="P82" s="102"/>
      <c r="Q82" s="26"/>
      <c r="R82" s="26"/>
      <c r="S82" s="26"/>
      <c r="T82" s="26"/>
      <c r="U82" s="26"/>
      <c r="V82" s="26"/>
      <c r="W82" s="26"/>
      <c r="X82" s="26"/>
      <c r="Y82" s="26"/>
      <c r="Z82" s="26"/>
      <c r="AA82" s="26"/>
    </row>
    <row r="83" spans="1:27" s="102" customFormat="1" ht="14.25">
      <c r="A83" s="27"/>
      <c r="B83" s="92">
        <f ca="1">TODAY()</f>
        <v>43206</v>
      </c>
      <c r="C83" s="92"/>
      <c r="D83" s="144"/>
      <c r="E83" s="27"/>
      <c r="F83" s="27"/>
      <c r="G83" s="27"/>
      <c r="H83" s="27"/>
      <c r="I83" s="27"/>
      <c r="J83" s="27"/>
      <c r="K83" s="27"/>
      <c r="L83" s="27"/>
      <c r="M83" s="27"/>
      <c r="N83" s="27"/>
      <c r="O83" s="27"/>
      <c r="P83" s="27"/>
      <c r="Q83" s="25"/>
      <c r="R83" s="25"/>
      <c r="S83" s="25"/>
      <c r="T83" s="25"/>
      <c r="U83" s="25"/>
      <c r="V83" s="25"/>
      <c r="W83" s="25"/>
      <c r="X83" s="25"/>
      <c r="Y83" s="25"/>
      <c r="Z83" s="25"/>
      <c r="AA83" s="25"/>
    </row>
    <row r="84" spans="1:27" s="102" customFormat="1" ht="14.25">
      <c r="A84" s="220"/>
      <c r="B84" s="220"/>
      <c r="C84" s="220"/>
      <c r="D84" s="220"/>
      <c r="E84" s="220"/>
      <c r="F84" s="220"/>
      <c r="G84" s="220"/>
      <c r="H84" s="220"/>
      <c r="I84" s="220"/>
      <c r="J84" s="220"/>
      <c r="K84" s="220"/>
      <c r="L84" s="220"/>
      <c r="M84" s="220"/>
      <c r="N84" s="220"/>
      <c r="O84" s="220"/>
      <c r="P84" s="220"/>
      <c r="Q84" s="25"/>
      <c r="R84" s="25"/>
      <c r="S84" s="25"/>
      <c r="T84" s="25"/>
      <c r="U84" s="25"/>
      <c r="V84" s="25"/>
      <c r="W84" s="25"/>
      <c r="X84" s="25"/>
      <c r="Y84" s="25"/>
      <c r="Z84" s="25"/>
      <c r="AA84" s="25"/>
    </row>
    <row r="85" spans="1:27" s="27" customFormat="1" ht="14.25">
      <c r="A85" s="220"/>
      <c r="B85" s="220"/>
      <c r="C85" s="220"/>
      <c r="D85" s="220"/>
      <c r="E85" s="220"/>
      <c r="F85" s="220"/>
      <c r="G85" s="220"/>
      <c r="H85" s="220"/>
      <c r="I85" s="220"/>
      <c r="J85" s="220"/>
      <c r="K85" s="220"/>
      <c r="L85" s="220"/>
      <c r="M85" s="220"/>
      <c r="N85" s="220"/>
      <c r="O85" s="220"/>
      <c r="P85" s="220"/>
      <c r="Q85" s="26"/>
      <c r="R85" s="26"/>
      <c r="S85" s="26"/>
      <c r="T85" s="26"/>
      <c r="U85" s="26"/>
      <c r="V85" s="26"/>
      <c r="W85" s="26"/>
      <c r="X85" s="26"/>
      <c r="Y85" s="26"/>
      <c r="Z85" s="26"/>
      <c r="AA85" s="26"/>
    </row>
  </sheetData>
  <mergeCells count="23">
    <mergeCell ref="B78:K78"/>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 ref="N8:N11"/>
    <mergeCell ref="I8:I11"/>
    <mergeCell ref="J8:J11"/>
    <mergeCell ref="K8:K11"/>
    <mergeCell ref="L8:L11"/>
    <mergeCell ref="M8:M11"/>
  </mergeCells>
  <conditionalFormatting sqref="G16">
    <cfRule type="containsErrors" dxfId="39" priority="202" stopIfTrue="1">
      <formula>ISERROR(G16)</formula>
    </cfRule>
  </conditionalFormatting>
  <conditionalFormatting sqref="G16">
    <cfRule type="cellIs" dxfId="38" priority="201" operator="equal">
      <formula>0</formula>
    </cfRule>
  </conditionalFormatting>
  <conditionalFormatting sqref="G15">
    <cfRule type="containsErrors" dxfId="37" priority="182" stopIfTrue="1">
      <formula>ISERROR(G15)</formula>
    </cfRule>
  </conditionalFormatting>
  <conditionalFormatting sqref="G15">
    <cfRule type="cellIs" dxfId="36" priority="181" operator="equal">
      <formula>0</formula>
    </cfRule>
  </conditionalFormatting>
  <conditionalFormatting sqref="G53">
    <cfRule type="containsErrors" dxfId="35" priority="176" stopIfTrue="1">
      <formula>ISERROR(G53)</formula>
    </cfRule>
  </conditionalFormatting>
  <conditionalFormatting sqref="G53">
    <cfRule type="cellIs" dxfId="34" priority="175" operator="equal">
      <formula>0</formula>
    </cfRule>
  </conditionalFormatting>
  <conditionalFormatting sqref="G30">
    <cfRule type="containsErrors" dxfId="33" priority="172" stopIfTrue="1">
      <formula>ISERROR(G30)</formula>
    </cfRule>
  </conditionalFormatting>
  <conditionalFormatting sqref="G30">
    <cfRule type="cellIs" dxfId="32" priority="171" operator="equal">
      <formula>0</formula>
    </cfRule>
  </conditionalFormatting>
  <conditionalFormatting sqref="G69">
    <cfRule type="containsErrors" dxfId="31" priority="168" stopIfTrue="1">
      <formula>ISERROR(G69)</formula>
    </cfRule>
  </conditionalFormatting>
  <conditionalFormatting sqref="G69">
    <cfRule type="cellIs" dxfId="30" priority="167" operator="equal">
      <formula>0</formula>
    </cfRule>
  </conditionalFormatting>
  <conditionalFormatting sqref="G72 I72">
    <cfRule type="containsErrors" dxfId="29" priority="160" stopIfTrue="1">
      <formula>ISERROR(G72)</formula>
    </cfRule>
  </conditionalFormatting>
  <conditionalFormatting sqref="G72 I72">
    <cfRule type="cellIs" dxfId="28" priority="159" operator="equal">
      <formula>0</formula>
    </cfRule>
  </conditionalFormatting>
  <conditionalFormatting sqref="G60 I60">
    <cfRule type="containsErrors" dxfId="27" priority="156" stopIfTrue="1">
      <formula>ISERROR(G60)</formula>
    </cfRule>
  </conditionalFormatting>
  <conditionalFormatting sqref="G60 I60">
    <cfRule type="cellIs" dxfId="26" priority="155" operator="equal">
      <formula>0</formula>
    </cfRule>
  </conditionalFormatting>
  <conditionalFormatting sqref="G40 I40">
    <cfRule type="containsErrors" dxfId="25" priority="152" stopIfTrue="1">
      <formula>ISERROR(G40)</formula>
    </cfRule>
  </conditionalFormatting>
  <conditionalFormatting sqref="G40 I40">
    <cfRule type="cellIs" dxfId="24" priority="151" operator="equal">
      <formula>0</formula>
    </cfRule>
  </conditionalFormatting>
  <conditionalFormatting sqref="G54">
    <cfRule type="containsErrors" dxfId="23" priority="142" stopIfTrue="1">
      <formula>ISERROR(G54)</formula>
    </cfRule>
  </conditionalFormatting>
  <conditionalFormatting sqref="G54">
    <cfRule type="cellIs" dxfId="22" priority="141" operator="equal">
      <formula>0</formula>
    </cfRule>
  </conditionalFormatting>
  <conditionalFormatting sqref="G56">
    <cfRule type="containsErrors" dxfId="21" priority="138" stopIfTrue="1">
      <formula>ISERROR(G56)</formula>
    </cfRule>
  </conditionalFormatting>
  <conditionalFormatting sqref="G56">
    <cfRule type="cellIs" dxfId="20" priority="137" operator="equal">
      <formula>0</formula>
    </cfRule>
  </conditionalFormatting>
  <conditionalFormatting sqref="G61">
    <cfRule type="containsErrors" dxfId="19" priority="124" stopIfTrue="1">
      <formula>ISERROR(G61)</formula>
    </cfRule>
  </conditionalFormatting>
  <conditionalFormatting sqref="G61">
    <cfRule type="cellIs" dxfId="18" priority="123" operator="equal">
      <formula>0</formula>
    </cfRule>
  </conditionalFormatting>
  <conditionalFormatting sqref="G59">
    <cfRule type="containsErrors" dxfId="17" priority="120" stopIfTrue="1">
      <formula>ISERROR(G59)</formula>
    </cfRule>
  </conditionalFormatting>
  <conditionalFormatting sqref="G59">
    <cfRule type="cellIs" dxfId="16" priority="119" operator="equal">
      <formula>0</formula>
    </cfRule>
  </conditionalFormatting>
  <conditionalFormatting sqref="G58">
    <cfRule type="containsErrors" dxfId="15" priority="118" stopIfTrue="1">
      <formula>ISERROR(G58)</formula>
    </cfRule>
  </conditionalFormatting>
  <conditionalFormatting sqref="G58">
    <cfRule type="cellIs" dxfId="14" priority="117" operator="equal">
      <formula>0</formula>
    </cfRule>
  </conditionalFormatting>
  <conditionalFormatting sqref="G38">
    <cfRule type="containsErrors" dxfId="13" priority="114" stopIfTrue="1">
      <formula>ISERROR(G38)</formula>
    </cfRule>
  </conditionalFormatting>
  <conditionalFormatting sqref="G38">
    <cfRule type="cellIs" dxfId="12" priority="113" operator="equal">
      <formula>0</formula>
    </cfRule>
  </conditionalFormatting>
  <conditionalFormatting sqref="G36">
    <cfRule type="containsErrors" dxfId="11" priority="110" stopIfTrue="1">
      <formula>ISERROR(G36)</formula>
    </cfRule>
  </conditionalFormatting>
  <conditionalFormatting sqref="G36">
    <cfRule type="cellIs" dxfId="10" priority="109" operator="equal">
      <formula>0</formula>
    </cfRule>
  </conditionalFormatting>
  <conditionalFormatting sqref="G33">
    <cfRule type="containsErrors" dxfId="9" priority="106" stopIfTrue="1">
      <formula>ISERROR(G33)</formula>
    </cfRule>
  </conditionalFormatting>
  <conditionalFormatting sqref="G33">
    <cfRule type="cellIs" dxfId="8" priority="105" operator="equal">
      <formula>0</formula>
    </cfRule>
  </conditionalFormatting>
  <conditionalFormatting sqref="G41">
    <cfRule type="containsErrors" dxfId="7" priority="100" stopIfTrue="1">
      <formula>ISERROR(G41)</formula>
    </cfRule>
  </conditionalFormatting>
  <conditionalFormatting sqref="G41">
    <cfRule type="cellIs" dxfId="6" priority="99" operator="equal">
      <formula>0</formula>
    </cfRule>
  </conditionalFormatting>
  <conditionalFormatting sqref="G39">
    <cfRule type="containsErrors" dxfId="5" priority="94" stopIfTrue="1">
      <formula>ISERROR(G39)</formula>
    </cfRule>
  </conditionalFormatting>
  <conditionalFormatting sqref="G39">
    <cfRule type="cellIs" dxfId="4" priority="93" operator="equal">
      <formula>0</formula>
    </cfRule>
  </conditionalFormatting>
  <conditionalFormatting sqref="G34">
    <cfRule type="containsErrors" dxfId="3" priority="92" stopIfTrue="1">
      <formula>ISERROR(G34)</formula>
    </cfRule>
  </conditionalFormatting>
  <conditionalFormatting sqref="G34">
    <cfRule type="cellIs" dxfId="2" priority="91" operator="equal">
      <formula>0</formula>
    </cfRule>
  </conditionalFormatting>
  <conditionalFormatting sqref="G50">
    <cfRule type="containsErrors" dxfId="1" priority="88" stopIfTrue="1">
      <formula>ISERROR(G50)</formula>
    </cfRule>
  </conditionalFormatting>
  <conditionalFormatting sqref="G50">
    <cfRule type="cellIs" dxfId="0" priority="87" operator="equal">
      <formula>0</formula>
    </cfRule>
  </conditionalFormatting>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64"/>
  <sheetViews>
    <sheetView topLeftCell="A142" zoomScaleNormal="100" workbookViewId="0">
      <selection activeCell="N155" sqref="N155"/>
    </sheetView>
  </sheetViews>
  <sheetFormatPr defaultColWidth="9.140625" defaultRowHeight="12"/>
  <cols>
    <col min="1" max="1" width="7.140625" style="248" customWidth="1"/>
    <col min="2" max="2" width="36" style="248" customWidth="1"/>
    <col min="3" max="3" width="8.7109375" style="248" customWidth="1"/>
    <col min="4" max="5" width="7.28515625" style="248" customWidth="1"/>
    <col min="6" max="10" width="8.140625" style="248" customWidth="1"/>
    <col min="11" max="11" width="9.7109375" style="248" customWidth="1"/>
    <col min="12" max="13" width="9.140625" style="248" customWidth="1"/>
    <col min="14" max="14" width="9.7109375" style="248" customWidth="1"/>
    <col min="15" max="15" width="9.140625" style="248" customWidth="1"/>
    <col min="16" max="16" width="9.42578125" style="248" customWidth="1"/>
    <col min="17" max="17" width="10.28515625" style="248" customWidth="1"/>
    <col min="18" max="16384" width="9.140625" style="248"/>
  </cols>
  <sheetData>
    <row r="1" spans="1:16" s="102" customFormat="1" ht="14.25">
      <c r="A1" s="396" t="s">
        <v>279</v>
      </c>
      <c r="B1" s="396"/>
      <c r="C1" s="396"/>
      <c r="D1" s="396"/>
      <c r="E1" s="396"/>
      <c r="F1" s="396"/>
      <c r="G1" s="396"/>
      <c r="H1" s="396"/>
      <c r="I1" s="396"/>
      <c r="J1" s="396"/>
      <c r="K1" s="396"/>
      <c r="L1" s="396"/>
      <c r="M1" s="396"/>
      <c r="N1" s="396"/>
      <c r="O1" s="396"/>
      <c r="P1" s="396"/>
    </row>
    <row r="2" spans="1:16" s="102" customFormat="1" ht="14.25">
      <c r="A2" s="397" t="str">
        <f>Kopsavilkums!C37</f>
        <v>ŪKT</v>
      </c>
      <c r="B2" s="397"/>
      <c r="C2" s="397"/>
      <c r="D2" s="397"/>
      <c r="E2" s="397"/>
      <c r="F2" s="397"/>
      <c r="G2" s="397"/>
      <c r="H2" s="397"/>
      <c r="I2" s="397"/>
      <c r="J2" s="397"/>
      <c r="K2" s="397"/>
      <c r="L2" s="397"/>
      <c r="M2" s="397"/>
      <c r="N2" s="397"/>
      <c r="O2" s="397"/>
      <c r="P2" s="397"/>
    </row>
    <row r="3" spans="1:16" s="102" customFormat="1" ht="14.25">
      <c r="A3" s="115" t="s">
        <v>1246</v>
      </c>
      <c r="B3" s="177"/>
      <c r="C3" s="177"/>
      <c r="D3" s="177"/>
      <c r="E3" s="177"/>
      <c r="F3" s="177"/>
      <c r="G3" s="177"/>
      <c r="H3" s="177"/>
      <c r="I3" s="177"/>
      <c r="J3" s="177"/>
      <c r="K3" s="177"/>
      <c r="L3" s="177"/>
      <c r="M3" s="177"/>
      <c r="N3" s="177"/>
      <c r="O3" s="177"/>
      <c r="P3" s="177"/>
    </row>
    <row r="4" spans="1:16" s="102" customFormat="1" ht="14.25">
      <c r="A4" s="115" t="s">
        <v>307</v>
      </c>
      <c r="B4" s="177"/>
      <c r="C4" s="177"/>
      <c r="D4" s="177"/>
      <c r="E4" s="177"/>
      <c r="F4" s="177"/>
      <c r="G4" s="177"/>
      <c r="H4" s="177"/>
      <c r="I4" s="177"/>
      <c r="J4" s="177"/>
      <c r="K4" s="177"/>
      <c r="L4" s="177"/>
      <c r="M4" s="177"/>
      <c r="N4" s="177"/>
      <c r="O4" s="177"/>
      <c r="P4" s="177"/>
    </row>
    <row r="5" spans="1:16" s="102" customFormat="1" ht="14.25">
      <c r="A5" s="115" t="s">
        <v>306</v>
      </c>
      <c r="B5" s="177"/>
      <c r="C5" s="177"/>
      <c r="D5" s="177"/>
      <c r="E5" s="177"/>
      <c r="F5" s="177"/>
      <c r="G5" s="177"/>
      <c r="H5" s="177"/>
      <c r="I5" s="177"/>
      <c r="J5" s="177"/>
      <c r="K5" s="177"/>
      <c r="L5" s="177"/>
      <c r="M5" s="177"/>
      <c r="N5" s="177"/>
      <c r="O5" s="177"/>
      <c r="P5" s="177"/>
    </row>
    <row r="6" spans="1:16" s="117" customFormat="1" ht="13.5" thickBot="1">
      <c r="F6" s="133"/>
      <c r="G6" s="133"/>
      <c r="H6" s="133"/>
      <c r="I6" s="133"/>
      <c r="J6" s="133"/>
      <c r="K6" s="403" t="s">
        <v>13</v>
      </c>
      <c r="L6" s="403"/>
      <c r="M6" s="403"/>
      <c r="N6" s="403"/>
      <c r="O6" s="404" t="e">
        <f>#REF!</f>
        <v>#REF!</v>
      </c>
      <c r="P6" s="404"/>
    </row>
    <row r="7" spans="1:16" s="133" customFormat="1" ht="12.75" customHeight="1">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ustomHeight="1">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157" customFormat="1" ht="13.5" thickTop="1">
      <c r="A13" s="106"/>
      <c r="B13" s="239" t="s">
        <v>280</v>
      </c>
      <c r="C13" s="246"/>
      <c r="D13" s="241"/>
      <c r="E13" s="242"/>
      <c r="F13" s="107"/>
      <c r="G13" s="108"/>
      <c r="H13" s="4"/>
      <c r="I13" s="4"/>
      <c r="J13" s="4"/>
      <c r="K13" s="108"/>
      <c r="L13" s="108"/>
      <c r="M13" s="108"/>
      <c r="N13" s="108"/>
      <c r="O13" s="108"/>
      <c r="P13" s="109"/>
    </row>
    <row r="14" spans="1:16" s="157" customFormat="1" ht="12.75">
      <c r="A14" s="106"/>
      <c r="B14" s="239" t="s">
        <v>263</v>
      </c>
      <c r="C14" s="246"/>
      <c r="D14" s="241"/>
      <c r="E14" s="242"/>
      <c r="F14" s="107"/>
      <c r="G14" s="108"/>
      <c r="H14" s="4"/>
      <c r="I14" s="4"/>
      <c r="J14" s="4"/>
      <c r="K14" s="108"/>
      <c r="L14" s="108"/>
      <c r="M14" s="108"/>
      <c r="N14" s="108"/>
      <c r="O14" s="108"/>
      <c r="P14" s="109"/>
    </row>
    <row r="15" spans="1:16" s="157" customFormat="1" ht="24">
      <c r="A15" s="106">
        <f t="shared" ref="A15:A76" si="0">A14+1</f>
        <v>1</v>
      </c>
      <c r="B15" s="235" t="s">
        <v>782</v>
      </c>
      <c r="C15" s="246"/>
      <c r="D15" s="241" t="s">
        <v>42</v>
      </c>
      <c r="E15" s="243">
        <v>5</v>
      </c>
      <c r="F15" s="33"/>
      <c r="G15" s="4"/>
      <c r="H15" s="4"/>
      <c r="I15" s="129"/>
      <c r="J15" s="4"/>
      <c r="K15" s="337"/>
      <c r="L15" s="338"/>
      <c r="M15" s="338"/>
      <c r="N15" s="338"/>
      <c r="O15" s="338"/>
      <c r="P15" s="339"/>
    </row>
    <row r="16" spans="1:16" s="157" customFormat="1" ht="60">
      <c r="A16" s="106">
        <f t="shared" si="0"/>
        <v>2</v>
      </c>
      <c r="B16" s="235" t="s">
        <v>783</v>
      </c>
      <c r="C16" s="246"/>
      <c r="D16" s="241"/>
      <c r="E16" s="243"/>
      <c r="F16" s="107"/>
      <c r="G16" s="108"/>
      <c r="H16" s="108"/>
      <c r="I16" s="129"/>
      <c r="J16" s="4"/>
      <c r="K16" s="108"/>
      <c r="L16" s="108"/>
      <c r="M16" s="108"/>
      <c r="N16" s="108"/>
      <c r="O16" s="108"/>
      <c r="P16" s="109"/>
    </row>
    <row r="17" spans="1:59" s="157" customFormat="1" ht="12.75">
      <c r="A17" s="106">
        <f t="shared" si="0"/>
        <v>3</v>
      </c>
      <c r="B17" s="235" t="s">
        <v>784</v>
      </c>
      <c r="C17" s="246"/>
      <c r="D17" s="241" t="s">
        <v>30</v>
      </c>
      <c r="E17" s="244">
        <v>1</v>
      </c>
      <c r="F17" s="33"/>
      <c r="G17" s="4"/>
      <c r="H17" s="4"/>
      <c r="I17" s="129"/>
      <c r="J17" s="4"/>
      <c r="K17" s="337"/>
      <c r="L17" s="338"/>
      <c r="M17" s="338"/>
      <c r="N17" s="338"/>
      <c r="O17" s="338"/>
      <c r="P17" s="339"/>
    </row>
    <row r="18" spans="1:59" s="157" customFormat="1" ht="108">
      <c r="A18" s="106">
        <f t="shared" si="0"/>
        <v>4</v>
      </c>
      <c r="B18" s="235" t="s">
        <v>1097</v>
      </c>
      <c r="C18" s="246"/>
      <c r="D18" s="241" t="s">
        <v>30</v>
      </c>
      <c r="E18" s="247">
        <v>1</v>
      </c>
      <c r="F18" s="33"/>
      <c r="G18" s="4"/>
      <c r="H18" s="4"/>
      <c r="I18" s="4"/>
      <c r="J18" s="4"/>
      <c r="K18" s="337"/>
      <c r="L18" s="338"/>
      <c r="M18" s="338"/>
      <c r="N18" s="338"/>
      <c r="O18" s="338"/>
      <c r="P18" s="339"/>
    </row>
    <row r="19" spans="1:59" s="157" customFormat="1" ht="48">
      <c r="A19" s="106">
        <f t="shared" si="0"/>
        <v>5</v>
      </c>
      <c r="B19" s="235" t="s">
        <v>1099</v>
      </c>
      <c r="C19" s="246"/>
      <c r="D19" s="241" t="s">
        <v>29</v>
      </c>
      <c r="E19" s="247">
        <v>1</v>
      </c>
      <c r="F19" s="107"/>
      <c r="G19" s="108"/>
      <c r="H19" s="108"/>
      <c r="I19" s="129"/>
      <c r="J19" s="4"/>
      <c r="K19" s="108"/>
      <c r="L19" s="108"/>
      <c r="M19" s="108"/>
      <c r="N19" s="108"/>
      <c r="O19" s="108"/>
      <c r="P19" s="109"/>
    </row>
    <row r="20" spans="1:59" s="117" customFormat="1" ht="24">
      <c r="A20" s="106">
        <f t="shared" si="0"/>
        <v>6</v>
      </c>
      <c r="B20" s="158" t="s">
        <v>1100</v>
      </c>
      <c r="C20" s="174"/>
      <c r="D20" s="116" t="s">
        <v>26</v>
      </c>
      <c r="E20" s="242">
        <f>6.2*3.5*0.3</f>
        <v>6.51</v>
      </c>
      <c r="F20" s="33"/>
      <c r="G20" s="4"/>
      <c r="H20" s="4"/>
      <c r="I20" s="33"/>
      <c r="J20" s="4"/>
      <c r="K20" s="337"/>
      <c r="L20" s="338"/>
      <c r="M20" s="338"/>
      <c r="N20" s="338"/>
      <c r="O20" s="338"/>
      <c r="P20" s="339"/>
    </row>
    <row r="21" spans="1:59" s="25" customFormat="1" ht="14.25">
      <c r="A21" s="106">
        <f t="shared" si="0"/>
        <v>7</v>
      </c>
      <c r="B21" s="118" t="s">
        <v>343</v>
      </c>
      <c r="C21" s="118"/>
      <c r="D21" s="226" t="s">
        <v>26</v>
      </c>
      <c r="E21" s="9">
        <f>E20*1.02</f>
        <v>6.6402000000000001</v>
      </c>
      <c r="F21" s="33"/>
      <c r="G21" s="33"/>
      <c r="H21" s="33"/>
      <c r="I21" s="4"/>
      <c r="J21" s="33"/>
      <c r="K21" s="337"/>
      <c r="L21" s="338"/>
      <c r="M21" s="338"/>
      <c r="N21" s="338"/>
      <c r="O21" s="338"/>
      <c r="P21" s="339"/>
      <c r="Q21" s="205"/>
    </row>
    <row r="22" spans="1:59" s="25" customFormat="1" ht="14.25">
      <c r="A22" s="106">
        <f t="shared" si="0"/>
        <v>8</v>
      </c>
      <c r="B22" s="24" t="s">
        <v>341</v>
      </c>
      <c r="C22" s="24"/>
      <c r="D22" s="13" t="s">
        <v>30</v>
      </c>
      <c r="E22" s="10">
        <v>1</v>
      </c>
      <c r="F22" s="36"/>
      <c r="G22" s="4"/>
      <c r="H22" s="4"/>
      <c r="I22" s="129"/>
      <c r="J22" s="4"/>
      <c r="K22" s="337"/>
      <c r="L22" s="338"/>
      <c r="M22" s="338"/>
      <c r="N22" s="338"/>
      <c r="O22" s="338"/>
      <c r="P22" s="339"/>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row>
    <row r="23" spans="1:59" s="25" customFormat="1" ht="14.25">
      <c r="A23" s="106">
        <f t="shared" si="0"/>
        <v>9</v>
      </c>
      <c r="B23" s="24" t="s">
        <v>319</v>
      </c>
      <c r="C23" s="24"/>
      <c r="D23" s="13" t="s">
        <v>30</v>
      </c>
      <c r="E23" s="10">
        <v>1</v>
      </c>
      <c r="F23" s="36"/>
      <c r="G23" s="4"/>
      <c r="H23" s="4"/>
      <c r="I23" s="4"/>
      <c r="J23" s="4"/>
      <c r="K23" s="337"/>
      <c r="L23" s="338"/>
      <c r="M23" s="338"/>
      <c r="N23" s="338"/>
      <c r="O23" s="338"/>
      <c r="P23" s="339"/>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row>
    <row r="24" spans="1:59" s="25" customFormat="1" ht="14.25">
      <c r="A24" s="106">
        <f t="shared" si="0"/>
        <v>10</v>
      </c>
      <c r="B24" s="118" t="s">
        <v>320</v>
      </c>
      <c r="C24" s="118"/>
      <c r="D24" s="226" t="s">
        <v>321</v>
      </c>
      <c r="E24" s="9">
        <f>ROUND(E20/15,2)</f>
        <v>0.43</v>
      </c>
      <c r="F24" s="33"/>
      <c r="G24" s="33"/>
      <c r="H24" s="33"/>
      <c r="I24" s="4"/>
      <c r="J24" s="33"/>
      <c r="K24" s="337"/>
      <c r="L24" s="338"/>
      <c r="M24" s="338"/>
      <c r="N24" s="338"/>
      <c r="O24" s="338"/>
      <c r="P24" s="339"/>
      <c r="Q24" s="205"/>
    </row>
    <row r="25" spans="1:59" s="117" customFormat="1" ht="12.75">
      <c r="A25" s="106">
        <f t="shared" si="0"/>
        <v>11</v>
      </c>
      <c r="B25" s="174" t="s">
        <v>1101</v>
      </c>
      <c r="C25" s="174"/>
      <c r="D25" s="13" t="s">
        <v>39</v>
      </c>
      <c r="E25" s="289">
        <v>0.46229999999999999</v>
      </c>
      <c r="F25" s="33"/>
      <c r="G25" s="4"/>
      <c r="H25" s="4"/>
      <c r="I25" s="33"/>
      <c r="J25" s="4"/>
      <c r="K25" s="337"/>
      <c r="L25" s="338"/>
      <c r="M25" s="338"/>
      <c r="N25" s="338"/>
      <c r="O25" s="338"/>
      <c r="P25" s="339"/>
    </row>
    <row r="26" spans="1:59" s="25" customFormat="1" ht="14.25">
      <c r="A26" s="106">
        <f t="shared" si="0"/>
        <v>12</v>
      </c>
      <c r="B26" s="21" t="s">
        <v>1102</v>
      </c>
      <c r="C26" s="21"/>
      <c r="D26" s="13" t="s">
        <v>39</v>
      </c>
      <c r="E26" s="161">
        <f>E25*1.1</f>
        <v>0.50853000000000004</v>
      </c>
      <c r="F26" s="11"/>
      <c r="G26" s="33"/>
      <c r="H26" s="4"/>
      <c r="I26" s="11"/>
      <c r="J26" s="4"/>
      <c r="K26" s="337"/>
      <c r="L26" s="338"/>
      <c r="M26" s="338"/>
      <c r="N26" s="338"/>
      <c r="O26" s="338"/>
      <c r="P26" s="339"/>
    </row>
    <row r="27" spans="1:59" s="25" customFormat="1" ht="12" customHeight="1">
      <c r="A27" s="106">
        <f t="shared" si="0"/>
        <v>13</v>
      </c>
      <c r="B27" s="21" t="s">
        <v>178</v>
      </c>
      <c r="C27" s="21"/>
      <c r="D27" s="13" t="s">
        <v>39</v>
      </c>
      <c r="E27" s="161">
        <f>ROUND(SUM(E26)*0.035,4)</f>
        <v>1.78E-2</v>
      </c>
      <c r="F27" s="9"/>
      <c r="G27" s="33"/>
      <c r="H27" s="4"/>
      <c r="I27" s="4"/>
      <c r="J27" s="4"/>
      <c r="K27" s="337"/>
      <c r="L27" s="338"/>
      <c r="M27" s="338"/>
      <c r="N27" s="338"/>
      <c r="O27" s="338"/>
      <c r="P27" s="339"/>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row>
    <row r="28" spans="1:59" s="25" customFormat="1" ht="14.25">
      <c r="A28" s="106">
        <f t="shared" si="0"/>
        <v>14</v>
      </c>
      <c r="B28" s="24" t="s">
        <v>323</v>
      </c>
      <c r="C28" s="24"/>
      <c r="D28" s="13" t="s">
        <v>29</v>
      </c>
      <c r="E28" s="10">
        <f>ROUND(E20/0.8*9,0)</f>
        <v>73</v>
      </c>
      <c r="F28" s="36"/>
      <c r="G28" s="4"/>
      <c r="H28" s="4"/>
      <c r="I28" s="4"/>
      <c r="J28" s="4"/>
      <c r="K28" s="337"/>
      <c r="L28" s="338"/>
      <c r="M28" s="338"/>
      <c r="N28" s="338"/>
      <c r="O28" s="338"/>
      <c r="P28" s="339"/>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row>
    <row r="29" spans="1:59" s="157" customFormat="1" ht="12.75">
      <c r="A29" s="106"/>
      <c r="B29" s="239" t="s">
        <v>785</v>
      </c>
      <c r="C29" s="246"/>
      <c r="D29" s="241"/>
      <c r="E29" s="242"/>
      <c r="F29" s="107"/>
      <c r="G29" s="108"/>
      <c r="H29" s="4"/>
      <c r="I29" s="4"/>
      <c r="J29" s="4"/>
      <c r="K29" s="108"/>
      <c r="L29" s="108"/>
      <c r="M29" s="108"/>
      <c r="N29" s="108"/>
      <c r="O29" s="108"/>
      <c r="P29" s="109"/>
    </row>
    <row r="30" spans="1:59" s="157" customFormat="1" ht="12.75">
      <c r="A30" s="106">
        <v>15</v>
      </c>
      <c r="B30" s="235" t="s">
        <v>786</v>
      </c>
      <c r="C30" s="246"/>
      <c r="D30" s="241" t="s">
        <v>1082</v>
      </c>
      <c r="E30" s="242">
        <v>0.63</v>
      </c>
      <c r="F30" s="107"/>
      <c r="G30" s="108"/>
      <c r="H30" s="108"/>
      <c r="I30" s="129"/>
      <c r="J30" s="4"/>
      <c r="K30" s="337"/>
      <c r="L30" s="338"/>
      <c r="M30" s="338"/>
      <c r="N30" s="338"/>
      <c r="O30" s="338"/>
      <c r="P30" s="339"/>
    </row>
    <row r="31" spans="1:59" s="157" customFormat="1" ht="24">
      <c r="A31" s="106">
        <f t="shared" si="0"/>
        <v>16</v>
      </c>
      <c r="B31" s="235" t="s">
        <v>787</v>
      </c>
      <c r="C31" s="246"/>
      <c r="D31" s="241" t="s">
        <v>1082</v>
      </c>
      <c r="E31" s="242">
        <v>0.1</v>
      </c>
      <c r="F31" s="33"/>
      <c r="G31" s="33"/>
      <c r="H31" s="4"/>
      <c r="I31" s="4"/>
      <c r="J31" s="4"/>
      <c r="K31" s="337"/>
      <c r="L31" s="338"/>
      <c r="M31" s="338"/>
      <c r="N31" s="338"/>
      <c r="O31" s="338"/>
      <c r="P31" s="339"/>
    </row>
    <row r="32" spans="1:59" s="25" customFormat="1" ht="14.25">
      <c r="A32" s="106">
        <f t="shared" si="0"/>
        <v>17</v>
      </c>
      <c r="B32" s="121" t="s">
        <v>91</v>
      </c>
      <c r="C32" s="121"/>
      <c r="D32" s="13" t="s">
        <v>26</v>
      </c>
      <c r="E32" s="9">
        <f>ROUND(E31*100*1.05,2)</f>
        <v>10.5</v>
      </c>
      <c r="F32" s="36"/>
      <c r="G32" s="36"/>
      <c r="H32" s="4"/>
      <c r="I32" s="4"/>
      <c r="J32" s="4"/>
      <c r="K32" s="337"/>
      <c r="L32" s="338"/>
      <c r="M32" s="338"/>
      <c r="N32" s="338"/>
      <c r="O32" s="338"/>
      <c r="P32" s="339"/>
      <c r="T32" s="36"/>
    </row>
    <row r="33" spans="1:16" s="157" customFormat="1" ht="12.75">
      <c r="A33" s="106">
        <f t="shared" si="0"/>
        <v>18</v>
      </c>
      <c r="B33" s="49" t="s">
        <v>1098</v>
      </c>
      <c r="C33" s="246"/>
      <c r="D33" s="241" t="s">
        <v>14</v>
      </c>
      <c r="E33" s="242">
        <v>20</v>
      </c>
      <c r="F33" s="33"/>
      <c r="G33" s="318"/>
      <c r="H33" s="4"/>
      <c r="I33" s="4"/>
      <c r="J33" s="112"/>
      <c r="K33" s="337"/>
      <c r="L33" s="338"/>
      <c r="M33" s="338"/>
      <c r="N33" s="338"/>
      <c r="O33" s="338"/>
      <c r="P33" s="339"/>
    </row>
    <row r="34" spans="1:16" s="157" customFormat="1" ht="24">
      <c r="A34" s="106">
        <f t="shared" si="0"/>
        <v>19</v>
      </c>
      <c r="B34" s="235" t="s">
        <v>788</v>
      </c>
      <c r="C34" s="246"/>
      <c r="D34" s="241" t="s">
        <v>30</v>
      </c>
      <c r="E34" s="247">
        <v>1</v>
      </c>
      <c r="F34" s="107"/>
      <c r="G34" s="108"/>
      <c r="H34" s="108"/>
      <c r="I34" s="129"/>
      <c r="J34" s="4"/>
      <c r="K34" s="108"/>
      <c r="L34" s="108"/>
      <c r="M34" s="108"/>
      <c r="N34" s="108"/>
      <c r="O34" s="108"/>
      <c r="P34" s="109"/>
    </row>
    <row r="35" spans="1:16" s="157" customFormat="1" ht="24">
      <c r="A35" s="106"/>
      <c r="B35" s="239" t="s">
        <v>789</v>
      </c>
      <c r="C35" s="246"/>
      <c r="D35" s="241"/>
      <c r="E35" s="242"/>
      <c r="F35" s="107"/>
      <c r="G35" s="108"/>
      <c r="H35" s="4"/>
      <c r="I35" s="4"/>
      <c r="J35" s="4"/>
      <c r="K35" s="108"/>
      <c r="L35" s="108"/>
      <c r="M35" s="108"/>
      <c r="N35" s="108"/>
      <c r="O35" s="108"/>
      <c r="P35" s="109"/>
    </row>
    <row r="36" spans="1:16" s="157" customFormat="1" ht="24">
      <c r="A36" s="106">
        <v>20</v>
      </c>
      <c r="B36" s="235" t="s">
        <v>844</v>
      </c>
      <c r="C36" s="246"/>
      <c r="D36" s="241" t="s">
        <v>42</v>
      </c>
      <c r="E36" s="242">
        <v>150.25</v>
      </c>
      <c r="F36" s="33"/>
      <c r="G36" s="4"/>
      <c r="H36" s="4"/>
      <c r="I36" s="129"/>
      <c r="J36" s="4"/>
      <c r="K36" s="337"/>
      <c r="L36" s="338"/>
      <c r="M36" s="338"/>
      <c r="N36" s="338"/>
      <c r="O36" s="338"/>
      <c r="P36" s="339"/>
    </row>
    <row r="37" spans="1:16" s="157" customFormat="1" ht="24">
      <c r="A37" s="106">
        <f t="shared" si="0"/>
        <v>21</v>
      </c>
      <c r="B37" s="235" t="s">
        <v>845</v>
      </c>
      <c r="C37" s="246"/>
      <c r="D37" s="241" t="s">
        <v>42</v>
      </c>
      <c r="E37" s="243">
        <v>542.5</v>
      </c>
      <c r="F37" s="33"/>
      <c r="G37" s="4"/>
      <c r="H37" s="4"/>
      <c r="I37" s="129"/>
      <c r="J37" s="4"/>
      <c r="K37" s="337"/>
      <c r="L37" s="338"/>
      <c r="M37" s="338"/>
      <c r="N37" s="338"/>
      <c r="O37" s="338"/>
      <c r="P37" s="339"/>
    </row>
    <row r="38" spans="1:16" s="157" customFormat="1" ht="24">
      <c r="A38" s="106">
        <f t="shared" si="0"/>
        <v>22</v>
      </c>
      <c r="B38" s="235" t="s">
        <v>846</v>
      </c>
      <c r="C38" s="246"/>
      <c r="D38" s="241" t="s">
        <v>42</v>
      </c>
      <c r="E38" s="243">
        <v>26</v>
      </c>
      <c r="F38" s="33"/>
      <c r="G38" s="4"/>
      <c r="H38" s="4"/>
      <c r="I38" s="129"/>
      <c r="J38" s="4"/>
      <c r="K38" s="337"/>
      <c r="L38" s="338"/>
      <c r="M38" s="338"/>
      <c r="N38" s="338"/>
      <c r="O38" s="338"/>
      <c r="P38" s="339"/>
    </row>
    <row r="39" spans="1:16" s="157" customFormat="1" ht="24">
      <c r="A39" s="106">
        <f t="shared" si="0"/>
        <v>23</v>
      </c>
      <c r="B39" s="235" t="s">
        <v>847</v>
      </c>
      <c r="C39" s="246"/>
      <c r="D39" s="241" t="s">
        <v>42</v>
      </c>
      <c r="E39" s="242">
        <v>64.55</v>
      </c>
      <c r="F39" s="33"/>
      <c r="G39" s="4"/>
      <c r="H39" s="4"/>
      <c r="I39" s="129"/>
      <c r="J39" s="4"/>
      <c r="K39" s="337"/>
      <c r="L39" s="338"/>
      <c r="M39" s="338"/>
      <c r="N39" s="338"/>
      <c r="O39" s="338"/>
      <c r="P39" s="339"/>
    </row>
    <row r="40" spans="1:16" s="157" customFormat="1" ht="72">
      <c r="A40" s="106">
        <f t="shared" si="0"/>
        <v>24</v>
      </c>
      <c r="B40" s="235" t="s">
        <v>790</v>
      </c>
      <c r="C40" s="246"/>
      <c r="D40" s="241" t="s">
        <v>30</v>
      </c>
      <c r="E40" s="247">
        <v>43</v>
      </c>
      <c r="F40" s="33"/>
      <c r="G40" s="4"/>
      <c r="H40" s="4"/>
      <c r="I40" s="129"/>
      <c r="J40" s="4"/>
      <c r="K40" s="337"/>
      <c r="L40" s="338"/>
      <c r="M40" s="338"/>
      <c r="N40" s="338"/>
      <c r="O40" s="338"/>
      <c r="P40" s="339"/>
    </row>
    <row r="41" spans="1:16" s="157" customFormat="1" ht="12.75">
      <c r="A41" s="106">
        <f t="shared" si="0"/>
        <v>25</v>
      </c>
      <c r="B41" s="235" t="s">
        <v>848</v>
      </c>
      <c r="C41" s="246"/>
      <c r="D41" s="241" t="s">
        <v>30</v>
      </c>
      <c r="E41" s="247">
        <v>1</v>
      </c>
      <c r="F41" s="107"/>
      <c r="G41" s="108"/>
      <c r="H41" s="108"/>
      <c r="I41" s="129"/>
      <c r="J41" s="4"/>
      <c r="K41" s="337"/>
      <c r="L41" s="338"/>
      <c r="M41" s="338"/>
      <c r="N41" s="338"/>
      <c r="O41" s="338"/>
      <c r="P41" s="339"/>
    </row>
    <row r="42" spans="1:16" s="157" customFormat="1" ht="24">
      <c r="A42" s="106">
        <f t="shared" si="0"/>
        <v>26</v>
      </c>
      <c r="B42" s="235" t="s">
        <v>849</v>
      </c>
      <c r="C42" s="246"/>
      <c r="D42" s="241" t="s">
        <v>30</v>
      </c>
      <c r="E42" s="247">
        <v>8</v>
      </c>
      <c r="F42" s="107"/>
      <c r="G42" s="108"/>
      <c r="H42" s="108"/>
      <c r="I42" s="129"/>
      <c r="J42" s="4"/>
      <c r="K42" s="337"/>
      <c r="L42" s="338"/>
      <c r="M42" s="338"/>
      <c r="N42" s="338"/>
      <c r="O42" s="338"/>
      <c r="P42" s="339"/>
    </row>
    <row r="43" spans="1:16" s="157" customFormat="1" ht="24">
      <c r="A43" s="106">
        <f t="shared" si="0"/>
        <v>27</v>
      </c>
      <c r="B43" s="235" t="s">
        <v>850</v>
      </c>
      <c r="C43" s="246"/>
      <c r="D43" s="241" t="s">
        <v>30</v>
      </c>
      <c r="E43" s="247">
        <v>9</v>
      </c>
      <c r="F43" s="107"/>
      <c r="G43" s="108"/>
      <c r="H43" s="108"/>
      <c r="I43" s="129"/>
      <c r="J43" s="4"/>
      <c r="K43" s="337"/>
      <c r="L43" s="338"/>
      <c r="M43" s="338"/>
      <c r="N43" s="338"/>
      <c r="O43" s="338"/>
      <c r="P43" s="339"/>
    </row>
    <row r="44" spans="1:16" s="157" customFormat="1" ht="24">
      <c r="A44" s="106">
        <f t="shared" si="0"/>
        <v>28</v>
      </c>
      <c r="B44" s="235" t="s">
        <v>851</v>
      </c>
      <c r="C44" s="246"/>
      <c r="D44" s="241" t="s">
        <v>30</v>
      </c>
      <c r="E44" s="247">
        <v>7</v>
      </c>
      <c r="F44" s="107"/>
      <c r="G44" s="108"/>
      <c r="H44" s="108"/>
      <c r="I44" s="129"/>
      <c r="J44" s="4"/>
      <c r="K44" s="337"/>
      <c r="L44" s="338"/>
      <c r="M44" s="338"/>
      <c r="N44" s="338"/>
      <c r="O44" s="338"/>
      <c r="P44" s="339"/>
    </row>
    <row r="45" spans="1:16" s="157" customFormat="1" ht="24">
      <c r="A45" s="106">
        <f t="shared" si="0"/>
        <v>29</v>
      </c>
      <c r="B45" s="235" t="s">
        <v>852</v>
      </c>
      <c r="C45" s="246"/>
      <c r="D45" s="241" t="s">
        <v>30</v>
      </c>
      <c r="E45" s="247">
        <v>7</v>
      </c>
      <c r="F45" s="107"/>
      <c r="G45" s="108"/>
      <c r="H45" s="108"/>
      <c r="I45" s="129"/>
      <c r="J45" s="4"/>
      <c r="K45" s="337"/>
      <c r="L45" s="338"/>
      <c r="M45" s="338"/>
      <c r="N45" s="338"/>
      <c r="O45" s="338"/>
      <c r="P45" s="339"/>
    </row>
    <row r="46" spans="1:16" s="157" customFormat="1" ht="12.75">
      <c r="A46" s="106">
        <f t="shared" si="0"/>
        <v>30</v>
      </c>
      <c r="B46" s="235" t="s">
        <v>853</v>
      </c>
      <c r="C46" s="246"/>
      <c r="D46" s="241" t="s">
        <v>30</v>
      </c>
      <c r="E46" s="247">
        <v>1</v>
      </c>
      <c r="F46" s="107"/>
      <c r="G46" s="108"/>
      <c r="H46" s="108"/>
      <c r="I46" s="129"/>
      <c r="J46" s="4"/>
      <c r="K46" s="337"/>
      <c r="L46" s="338"/>
      <c r="M46" s="338"/>
      <c r="N46" s="338"/>
      <c r="O46" s="338"/>
      <c r="P46" s="339"/>
    </row>
    <row r="47" spans="1:16" s="157" customFormat="1" ht="24">
      <c r="A47" s="106">
        <f t="shared" si="0"/>
        <v>31</v>
      </c>
      <c r="B47" s="235" t="s">
        <v>854</v>
      </c>
      <c r="C47" s="246"/>
      <c r="D47" s="241" t="s">
        <v>30</v>
      </c>
      <c r="E47" s="247">
        <v>6</v>
      </c>
      <c r="F47" s="107"/>
      <c r="G47" s="108"/>
      <c r="H47" s="108"/>
      <c r="I47" s="129"/>
      <c r="J47" s="4"/>
      <c r="K47" s="337"/>
      <c r="L47" s="338"/>
      <c r="M47" s="338"/>
      <c r="N47" s="338"/>
      <c r="O47" s="338"/>
      <c r="P47" s="339"/>
    </row>
    <row r="48" spans="1:16" s="157" customFormat="1" ht="12.75">
      <c r="A48" s="106">
        <f t="shared" si="0"/>
        <v>32</v>
      </c>
      <c r="B48" s="235" t="s">
        <v>855</v>
      </c>
      <c r="C48" s="246"/>
      <c r="D48" s="241" t="s">
        <v>30</v>
      </c>
      <c r="E48" s="247">
        <v>1</v>
      </c>
      <c r="F48" s="107"/>
      <c r="G48" s="108"/>
      <c r="H48" s="108"/>
      <c r="I48" s="129"/>
      <c r="J48" s="4"/>
      <c r="K48" s="337"/>
      <c r="L48" s="338"/>
      <c r="M48" s="338"/>
      <c r="N48" s="338"/>
      <c r="O48" s="338"/>
      <c r="P48" s="339"/>
    </row>
    <row r="49" spans="1:16" s="157" customFormat="1" ht="12.75">
      <c r="A49" s="106">
        <f t="shared" si="0"/>
        <v>33</v>
      </c>
      <c r="B49" s="235" t="s">
        <v>856</v>
      </c>
      <c r="C49" s="246"/>
      <c r="D49" s="241" t="s">
        <v>30</v>
      </c>
      <c r="E49" s="247">
        <v>1</v>
      </c>
      <c r="F49" s="107"/>
      <c r="G49" s="108"/>
      <c r="H49" s="108"/>
      <c r="I49" s="129"/>
      <c r="J49" s="4"/>
      <c r="K49" s="337"/>
      <c r="L49" s="338"/>
      <c r="M49" s="338"/>
      <c r="N49" s="338"/>
      <c r="O49" s="338"/>
      <c r="P49" s="339"/>
    </row>
    <row r="50" spans="1:16" s="157" customFormat="1" ht="12.75">
      <c r="A50" s="106">
        <f t="shared" si="0"/>
        <v>34</v>
      </c>
      <c r="B50" s="235" t="s">
        <v>857</v>
      </c>
      <c r="C50" s="246"/>
      <c r="D50" s="241" t="s">
        <v>30</v>
      </c>
      <c r="E50" s="247">
        <v>1</v>
      </c>
      <c r="F50" s="107"/>
      <c r="G50" s="108"/>
      <c r="H50" s="108"/>
      <c r="I50" s="129"/>
      <c r="J50" s="4"/>
      <c r="K50" s="337"/>
      <c r="L50" s="338"/>
      <c r="M50" s="338"/>
      <c r="N50" s="338"/>
      <c r="O50" s="338"/>
      <c r="P50" s="339"/>
    </row>
    <row r="51" spans="1:16" s="157" customFormat="1" ht="12.75">
      <c r="A51" s="106">
        <f t="shared" si="0"/>
        <v>35</v>
      </c>
      <c r="B51" s="235" t="s">
        <v>858</v>
      </c>
      <c r="C51" s="246"/>
      <c r="D51" s="241" t="s">
        <v>30</v>
      </c>
      <c r="E51" s="247">
        <v>1</v>
      </c>
      <c r="F51" s="107"/>
      <c r="G51" s="108"/>
      <c r="H51" s="108"/>
      <c r="I51" s="129"/>
      <c r="J51" s="4"/>
      <c r="K51" s="337"/>
      <c r="L51" s="338"/>
      <c r="M51" s="338"/>
      <c r="N51" s="338"/>
      <c r="O51" s="338"/>
      <c r="P51" s="339"/>
    </row>
    <row r="52" spans="1:16" s="157" customFormat="1" ht="72">
      <c r="A52" s="106">
        <f t="shared" si="0"/>
        <v>36</v>
      </c>
      <c r="B52" s="235" t="s">
        <v>791</v>
      </c>
      <c r="C52" s="246"/>
      <c r="D52" s="241" t="s">
        <v>30</v>
      </c>
      <c r="E52" s="247">
        <v>6</v>
      </c>
      <c r="F52" s="33"/>
      <c r="G52" s="4"/>
      <c r="H52" s="4"/>
      <c r="I52" s="129"/>
      <c r="J52" s="4"/>
      <c r="K52" s="337"/>
      <c r="L52" s="338"/>
      <c r="M52" s="338"/>
      <c r="N52" s="338"/>
      <c r="O52" s="338"/>
      <c r="P52" s="339"/>
    </row>
    <row r="53" spans="1:16" s="157" customFormat="1" ht="12.75">
      <c r="A53" s="106">
        <f t="shared" si="0"/>
        <v>37</v>
      </c>
      <c r="B53" s="235" t="s">
        <v>859</v>
      </c>
      <c r="C53" s="246"/>
      <c r="D53" s="241" t="s">
        <v>30</v>
      </c>
      <c r="E53" s="247">
        <v>1</v>
      </c>
      <c r="F53" s="107"/>
      <c r="G53" s="108"/>
      <c r="H53" s="108"/>
      <c r="I53" s="129"/>
      <c r="J53" s="4"/>
      <c r="K53" s="337"/>
      <c r="L53" s="338"/>
      <c r="M53" s="338"/>
      <c r="N53" s="338"/>
      <c r="O53" s="338"/>
      <c r="P53" s="339"/>
    </row>
    <row r="54" spans="1:16" s="157" customFormat="1" ht="12.75">
      <c r="A54" s="106">
        <f t="shared" si="0"/>
        <v>38</v>
      </c>
      <c r="B54" s="235" t="s">
        <v>860</v>
      </c>
      <c r="C54" s="246"/>
      <c r="D54" s="241" t="s">
        <v>30</v>
      </c>
      <c r="E54" s="247">
        <v>1</v>
      </c>
      <c r="F54" s="107"/>
      <c r="G54" s="108"/>
      <c r="H54" s="108"/>
      <c r="I54" s="129"/>
      <c r="J54" s="4"/>
      <c r="K54" s="337"/>
      <c r="L54" s="338"/>
      <c r="M54" s="338"/>
      <c r="N54" s="338"/>
      <c r="O54" s="338"/>
      <c r="P54" s="339"/>
    </row>
    <row r="55" spans="1:16" s="157" customFormat="1" ht="12.75">
      <c r="A55" s="106">
        <f t="shared" si="0"/>
        <v>39</v>
      </c>
      <c r="B55" s="235" t="s">
        <v>861</v>
      </c>
      <c r="C55" s="246"/>
      <c r="D55" s="241" t="s">
        <v>30</v>
      </c>
      <c r="E55" s="247">
        <v>1</v>
      </c>
      <c r="F55" s="107"/>
      <c r="G55" s="108"/>
      <c r="H55" s="108"/>
      <c r="I55" s="129"/>
      <c r="J55" s="4"/>
      <c r="K55" s="337"/>
      <c r="L55" s="338"/>
      <c r="M55" s="338"/>
      <c r="N55" s="338"/>
      <c r="O55" s="338"/>
      <c r="P55" s="339"/>
    </row>
    <row r="56" spans="1:16" s="157" customFormat="1" ht="12.75">
      <c r="A56" s="106">
        <f t="shared" si="0"/>
        <v>40</v>
      </c>
      <c r="B56" s="235" t="s">
        <v>862</v>
      </c>
      <c r="C56" s="246"/>
      <c r="D56" s="241" t="s">
        <v>30</v>
      </c>
      <c r="E56" s="247">
        <v>1</v>
      </c>
      <c r="F56" s="107"/>
      <c r="G56" s="108"/>
      <c r="H56" s="108"/>
      <c r="I56" s="129"/>
      <c r="J56" s="4"/>
      <c r="K56" s="337"/>
      <c r="L56" s="338"/>
      <c r="M56" s="338"/>
      <c r="N56" s="338"/>
      <c r="O56" s="338"/>
      <c r="P56" s="339"/>
    </row>
    <row r="57" spans="1:16" s="157" customFormat="1" ht="12.75">
      <c r="A57" s="106">
        <f t="shared" si="0"/>
        <v>41</v>
      </c>
      <c r="B57" s="235" t="s">
        <v>863</v>
      </c>
      <c r="C57" s="246"/>
      <c r="D57" s="241" t="s">
        <v>30</v>
      </c>
      <c r="E57" s="247">
        <v>1</v>
      </c>
      <c r="F57" s="107"/>
      <c r="G57" s="108"/>
      <c r="H57" s="108"/>
      <c r="I57" s="129"/>
      <c r="J57" s="4"/>
      <c r="K57" s="337"/>
      <c r="L57" s="338"/>
      <c r="M57" s="338"/>
      <c r="N57" s="338"/>
      <c r="O57" s="338"/>
      <c r="P57" s="339"/>
    </row>
    <row r="58" spans="1:16" s="157" customFormat="1" ht="12.75">
      <c r="A58" s="106">
        <f t="shared" si="0"/>
        <v>42</v>
      </c>
      <c r="B58" s="235" t="s">
        <v>864</v>
      </c>
      <c r="C58" s="246"/>
      <c r="D58" s="241" t="s">
        <v>30</v>
      </c>
      <c r="E58" s="247">
        <v>1</v>
      </c>
      <c r="F58" s="107"/>
      <c r="G58" s="108"/>
      <c r="H58" s="108"/>
      <c r="I58" s="129"/>
      <c r="J58" s="4"/>
      <c r="K58" s="337"/>
      <c r="L58" s="338"/>
      <c r="M58" s="338"/>
      <c r="N58" s="338"/>
      <c r="O58" s="338"/>
      <c r="P58" s="339"/>
    </row>
    <row r="59" spans="1:16" s="157" customFormat="1" ht="264">
      <c r="A59" s="106">
        <f t="shared" si="0"/>
        <v>43</v>
      </c>
      <c r="B59" s="235" t="s">
        <v>865</v>
      </c>
      <c r="C59" s="246"/>
      <c r="D59" s="241" t="s">
        <v>30</v>
      </c>
      <c r="E59" s="247">
        <v>2</v>
      </c>
      <c r="F59" s="33"/>
      <c r="G59" s="4"/>
      <c r="H59" s="4"/>
      <c r="I59" s="129"/>
      <c r="J59" s="4"/>
      <c r="K59" s="337"/>
      <c r="L59" s="338"/>
      <c r="M59" s="338"/>
      <c r="N59" s="338"/>
      <c r="O59" s="338"/>
      <c r="P59" s="339"/>
    </row>
    <row r="60" spans="1:16" s="157" customFormat="1" ht="12.75">
      <c r="A60" s="106">
        <f t="shared" si="0"/>
        <v>44</v>
      </c>
      <c r="B60" s="235" t="s">
        <v>792</v>
      </c>
      <c r="C60" s="246"/>
      <c r="D60" s="241" t="s">
        <v>30</v>
      </c>
      <c r="E60" s="247">
        <v>1</v>
      </c>
      <c r="F60" s="107"/>
      <c r="G60" s="108"/>
      <c r="H60" s="108"/>
      <c r="I60" s="4"/>
      <c r="J60" s="4"/>
      <c r="K60" s="337"/>
      <c r="L60" s="338"/>
      <c r="M60" s="338"/>
      <c r="N60" s="338"/>
      <c r="O60" s="338"/>
      <c r="P60" s="339"/>
    </row>
    <row r="61" spans="1:16" s="157" customFormat="1" ht="12.75">
      <c r="A61" s="106">
        <f t="shared" si="0"/>
        <v>45</v>
      </c>
      <c r="B61" s="235" t="s">
        <v>793</v>
      </c>
      <c r="C61" s="246"/>
      <c r="D61" s="241" t="s">
        <v>30</v>
      </c>
      <c r="E61" s="247">
        <v>1</v>
      </c>
      <c r="F61" s="107"/>
      <c r="G61" s="108"/>
      <c r="H61" s="108"/>
      <c r="I61" s="4"/>
      <c r="J61" s="4"/>
      <c r="K61" s="337"/>
      <c r="L61" s="338"/>
      <c r="M61" s="338"/>
      <c r="N61" s="338"/>
      <c r="O61" s="338"/>
      <c r="P61" s="339"/>
    </row>
    <row r="62" spans="1:16" s="157" customFormat="1" ht="151.15" customHeight="1">
      <c r="A62" s="106">
        <f t="shared" si="0"/>
        <v>46</v>
      </c>
      <c r="B62" s="235" t="s">
        <v>794</v>
      </c>
      <c r="C62" s="246"/>
      <c r="D62" s="241" t="s">
        <v>30</v>
      </c>
      <c r="E62" s="247">
        <v>4</v>
      </c>
      <c r="F62" s="107"/>
      <c r="G62" s="4"/>
      <c r="H62" s="4"/>
      <c r="I62" s="4"/>
      <c r="J62" s="4"/>
      <c r="K62" s="108"/>
      <c r="L62" s="108"/>
      <c r="M62" s="108"/>
      <c r="N62" s="108"/>
      <c r="O62" s="108"/>
      <c r="P62" s="109"/>
    </row>
    <row r="63" spans="1:16" s="157" customFormat="1" ht="24">
      <c r="A63" s="106">
        <f t="shared" si="0"/>
        <v>47</v>
      </c>
      <c r="B63" s="235" t="s">
        <v>796</v>
      </c>
      <c r="C63" s="246"/>
      <c r="D63" s="241" t="s">
        <v>29</v>
      </c>
      <c r="E63" s="247">
        <v>2</v>
      </c>
      <c r="F63" s="107"/>
      <c r="G63" s="108"/>
      <c r="H63" s="108"/>
      <c r="I63" s="129"/>
      <c r="J63" s="4"/>
      <c r="K63" s="108"/>
      <c r="L63" s="108"/>
      <c r="M63" s="108"/>
      <c r="N63" s="108"/>
      <c r="O63" s="108"/>
      <c r="P63" s="109"/>
    </row>
    <row r="64" spans="1:16" s="157" customFormat="1" ht="24">
      <c r="A64" s="106">
        <f t="shared" si="0"/>
        <v>48</v>
      </c>
      <c r="B64" s="235" t="s">
        <v>797</v>
      </c>
      <c r="C64" s="246"/>
      <c r="D64" s="241" t="s">
        <v>29</v>
      </c>
      <c r="E64" s="247">
        <v>2</v>
      </c>
      <c r="F64" s="107"/>
      <c r="G64" s="108"/>
      <c r="H64" s="108"/>
      <c r="I64" s="129"/>
      <c r="J64" s="4"/>
      <c r="K64" s="108"/>
      <c r="L64" s="108"/>
      <c r="M64" s="108"/>
      <c r="N64" s="108"/>
      <c r="O64" s="108"/>
      <c r="P64" s="109"/>
    </row>
    <row r="65" spans="1:20" s="157" customFormat="1" ht="24">
      <c r="A65" s="106">
        <f t="shared" si="0"/>
        <v>49</v>
      </c>
      <c r="B65" s="235" t="s">
        <v>798</v>
      </c>
      <c r="C65" s="246"/>
      <c r="D65" s="241" t="s">
        <v>42</v>
      </c>
      <c r="E65" s="243">
        <v>10</v>
      </c>
      <c r="F65" s="107"/>
      <c r="G65" s="108"/>
      <c r="H65" s="108"/>
      <c r="I65" s="129"/>
      <c r="J65" s="4"/>
      <c r="K65" s="108"/>
      <c r="L65" s="108"/>
      <c r="M65" s="108"/>
      <c r="N65" s="108"/>
      <c r="O65" s="108"/>
      <c r="P65" s="109"/>
    </row>
    <row r="66" spans="1:20" s="157" customFormat="1" ht="12.75">
      <c r="A66" s="106">
        <f t="shared" si="0"/>
        <v>50</v>
      </c>
      <c r="B66" s="235" t="s">
        <v>799</v>
      </c>
      <c r="C66" s="246"/>
      <c r="D66" s="241" t="s">
        <v>29</v>
      </c>
      <c r="E66" s="247">
        <v>2</v>
      </c>
      <c r="F66" s="107"/>
      <c r="G66" s="108"/>
      <c r="H66" s="108"/>
      <c r="I66" s="129"/>
      <c r="J66" s="4"/>
      <c r="K66" s="108"/>
      <c r="L66" s="108"/>
      <c r="M66" s="108"/>
      <c r="N66" s="108"/>
      <c r="O66" s="108"/>
      <c r="P66" s="109"/>
    </row>
    <row r="67" spans="1:20" s="157" customFormat="1" ht="60">
      <c r="A67" s="106">
        <f t="shared" si="0"/>
        <v>51</v>
      </c>
      <c r="B67" s="235" t="s">
        <v>795</v>
      </c>
      <c r="C67" s="246"/>
      <c r="D67" s="241" t="s">
        <v>30</v>
      </c>
      <c r="E67" s="247">
        <v>2</v>
      </c>
      <c r="F67" s="33"/>
      <c r="G67" s="4"/>
      <c r="H67" s="4"/>
      <c r="I67" s="129"/>
      <c r="J67" s="4"/>
      <c r="K67" s="337"/>
      <c r="L67" s="338"/>
      <c r="M67" s="338"/>
      <c r="N67" s="338"/>
      <c r="O67" s="338"/>
      <c r="P67" s="339"/>
    </row>
    <row r="68" spans="1:20" s="157" customFormat="1" ht="12.75">
      <c r="A68" s="106">
        <f t="shared" si="0"/>
        <v>52</v>
      </c>
      <c r="B68" s="235" t="s">
        <v>800</v>
      </c>
      <c r="C68" s="246"/>
      <c r="D68" s="241" t="s">
        <v>30</v>
      </c>
      <c r="E68" s="247">
        <v>4</v>
      </c>
      <c r="F68" s="33"/>
      <c r="G68" s="4"/>
      <c r="H68" s="4"/>
      <c r="I68" s="129"/>
      <c r="J68" s="4"/>
      <c r="K68" s="337"/>
      <c r="L68" s="338"/>
      <c r="M68" s="338"/>
      <c r="N68" s="338"/>
      <c r="O68" s="338"/>
      <c r="P68" s="339"/>
    </row>
    <row r="69" spans="1:20" s="157" customFormat="1" ht="24">
      <c r="A69" s="106">
        <f t="shared" si="0"/>
        <v>53</v>
      </c>
      <c r="B69" s="235" t="s">
        <v>801</v>
      </c>
      <c r="C69" s="246"/>
      <c r="D69" s="241" t="s">
        <v>42</v>
      </c>
      <c r="E69" s="243">
        <v>12.5</v>
      </c>
      <c r="F69" s="33"/>
      <c r="G69" s="4"/>
      <c r="H69" s="4"/>
      <c r="I69" s="129"/>
      <c r="J69" s="4"/>
      <c r="K69" s="337"/>
      <c r="L69" s="338"/>
      <c r="M69" s="338"/>
      <c r="N69" s="338"/>
      <c r="O69" s="338"/>
      <c r="P69" s="339"/>
    </row>
    <row r="70" spans="1:20" s="157" customFormat="1" ht="24">
      <c r="A70" s="106">
        <f t="shared" si="0"/>
        <v>54</v>
      </c>
      <c r="B70" s="235" t="s">
        <v>802</v>
      </c>
      <c r="C70" s="246" t="s">
        <v>803</v>
      </c>
      <c r="D70" s="241" t="s">
        <v>30</v>
      </c>
      <c r="E70" s="247">
        <v>2</v>
      </c>
      <c r="F70" s="33"/>
      <c r="G70" s="4"/>
      <c r="H70" s="4"/>
      <c r="I70" s="129"/>
      <c r="J70" s="4"/>
      <c r="K70" s="337"/>
      <c r="L70" s="338"/>
      <c r="M70" s="338"/>
      <c r="N70" s="338"/>
      <c r="O70" s="338"/>
      <c r="P70" s="339"/>
    </row>
    <row r="71" spans="1:20" s="157" customFormat="1" ht="24">
      <c r="A71" s="106">
        <f t="shared" si="0"/>
        <v>55</v>
      </c>
      <c r="B71" s="235" t="s">
        <v>804</v>
      </c>
      <c r="C71" s="246" t="s">
        <v>803</v>
      </c>
      <c r="D71" s="241" t="s">
        <v>29</v>
      </c>
      <c r="E71" s="247">
        <v>2</v>
      </c>
      <c r="F71" s="33"/>
      <c r="G71" s="4"/>
      <c r="H71" s="4"/>
      <c r="I71" s="129"/>
      <c r="J71" s="4"/>
      <c r="K71" s="337"/>
      <c r="L71" s="338"/>
      <c r="M71" s="338"/>
      <c r="N71" s="338"/>
      <c r="O71" s="338"/>
      <c r="P71" s="339"/>
    </row>
    <row r="72" spans="1:20" s="157" customFormat="1" ht="81.599999999999994" customHeight="1">
      <c r="A72" s="106">
        <f t="shared" si="0"/>
        <v>56</v>
      </c>
      <c r="B72" s="235" t="s">
        <v>805</v>
      </c>
      <c r="C72" s="246"/>
      <c r="D72" s="241" t="s">
        <v>30</v>
      </c>
      <c r="E72" s="247">
        <v>2</v>
      </c>
      <c r="F72" s="33"/>
      <c r="G72" s="4"/>
      <c r="H72" s="4"/>
      <c r="I72" s="129"/>
      <c r="J72" s="4"/>
      <c r="K72" s="337"/>
      <c r="L72" s="338"/>
      <c r="M72" s="338"/>
      <c r="N72" s="338"/>
      <c r="O72" s="338"/>
      <c r="P72" s="339"/>
    </row>
    <row r="73" spans="1:20" s="157" customFormat="1" ht="12.75">
      <c r="A73" s="106">
        <f t="shared" si="0"/>
        <v>57</v>
      </c>
      <c r="B73" s="235" t="s">
        <v>806</v>
      </c>
      <c r="C73" s="246"/>
      <c r="D73" s="241" t="s">
        <v>30</v>
      </c>
      <c r="E73" s="247">
        <v>2</v>
      </c>
      <c r="F73" s="107"/>
      <c r="G73" s="108"/>
      <c r="H73" s="108"/>
      <c r="I73" s="4"/>
      <c r="J73" s="4"/>
      <c r="K73" s="337"/>
      <c r="L73" s="338"/>
      <c r="M73" s="338"/>
      <c r="N73" s="338"/>
      <c r="O73" s="338"/>
      <c r="P73" s="339"/>
    </row>
    <row r="74" spans="1:20" s="157" customFormat="1" ht="24">
      <c r="A74" s="106">
        <f t="shared" si="0"/>
        <v>58</v>
      </c>
      <c r="B74" s="235" t="s">
        <v>866</v>
      </c>
      <c r="C74" s="246"/>
      <c r="D74" s="241" t="s">
        <v>29</v>
      </c>
      <c r="E74" s="247">
        <v>1</v>
      </c>
      <c r="F74" s="33"/>
      <c r="G74" s="4"/>
      <c r="H74" s="4"/>
      <c r="I74" s="129"/>
      <c r="J74" s="4"/>
      <c r="K74" s="337"/>
      <c r="L74" s="338"/>
      <c r="M74" s="338"/>
      <c r="N74" s="338"/>
      <c r="O74" s="338"/>
      <c r="P74" s="339"/>
    </row>
    <row r="75" spans="1:20" s="157" customFormat="1" ht="24">
      <c r="A75" s="106">
        <f t="shared" si="0"/>
        <v>59</v>
      </c>
      <c r="B75" s="235" t="s">
        <v>807</v>
      </c>
      <c r="C75" s="246"/>
      <c r="D75" s="241" t="s">
        <v>29</v>
      </c>
      <c r="E75" s="247">
        <v>2</v>
      </c>
      <c r="F75" s="33"/>
      <c r="G75" s="4"/>
      <c r="H75" s="4"/>
      <c r="I75" s="129"/>
      <c r="J75" s="4"/>
      <c r="K75" s="337"/>
      <c r="L75" s="338"/>
      <c r="M75" s="338"/>
      <c r="N75" s="338"/>
      <c r="O75" s="338"/>
      <c r="P75" s="339"/>
    </row>
    <row r="76" spans="1:20" s="157" customFormat="1" ht="24">
      <c r="A76" s="106">
        <f t="shared" si="0"/>
        <v>60</v>
      </c>
      <c r="B76" s="235" t="s">
        <v>808</v>
      </c>
      <c r="C76" s="246"/>
      <c r="D76" s="241" t="s">
        <v>30</v>
      </c>
      <c r="E76" s="247">
        <v>40</v>
      </c>
      <c r="F76" s="107"/>
      <c r="G76" s="4"/>
      <c r="H76" s="4"/>
      <c r="I76" s="129"/>
      <c r="J76" s="4"/>
      <c r="K76" s="337"/>
      <c r="L76" s="338"/>
      <c r="M76" s="338"/>
      <c r="N76" s="338"/>
      <c r="O76" s="338"/>
      <c r="P76" s="339"/>
    </row>
    <row r="77" spans="1:20" s="157" customFormat="1" ht="12.75">
      <c r="A77" s="106"/>
      <c r="B77" s="239" t="s">
        <v>809</v>
      </c>
      <c r="C77" s="246"/>
      <c r="D77" s="241"/>
      <c r="E77" s="242"/>
      <c r="F77" s="107"/>
      <c r="G77" s="108"/>
      <c r="H77" s="4"/>
      <c r="I77" s="4"/>
      <c r="J77" s="4"/>
      <c r="K77" s="108"/>
      <c r="L77" s="108"/>
      <c r="M77" s="108"/>
      <c r="N77" s="108"/>
      <c r="O77" s="108"/>
      <c r="P77" s="109"/>
    </row>
    <row r="78" spans="1:20" s="157" customFormat="1" ht="12.75">
      <c r="A78" s="106">
        <v>61</v>
      </c>
      <c r="B78" s="235" t="s">
        <v>786</v>
      </c>
      <c r="C78" s="246"/>
      <c r="D78" s="241" t="s">
        <v>1082</v>
      </c>
      <c r="E78" s="242">
        <v>11.75</v>
      </c>
      <c r="F78" s="107"/>
      <c r="G78" s="108"/>
      <c r="H78" s="108"/>
      <c r="I78" s="129"/>
      <c r="J78" s="4"/>
      <c r="K78" s="337"/>
      <c r="L78" s="338"/>
      <c r="M78" s="338"/>
      <c r="N78" s="338"/>
      <c r="O78" s="338"/>
      <c r="P78" s="339"/>
    </row>
    <row r="79" spans="1:20" s="157" customFormat="1" ht="24">
      <c r="A79" s="106">
        <f t="shared" ref="A79:A141" si="1">A78+1</f>
        <v>62</v>
      </c>
      <c r="B79" s="235" t="s">
        <v>787</v>
      </c>
      <c r="C79" s="246"/>
      <c r="D79" s="241" t="s">
        <v>1082</v>
      </c>
      <c r="E79" s="242">
        <v>6.3</v>
      </c>
      <c r="F79" s="33"/>
      <c r="G79" s="33"/>
      <c r="H79" s="4"/>
      <c r="I79" s="4"/>
      <c r="J79" s="4"/>
      <c r="K79" s="337"/>
      <c r="L79" s="338"/>
      <c r="M79" s="338"/>
      <c r="N79" s="338"/>
      <c r="O79" s="338"/>
      <c r="P79" s="339"/>
    </row>
    <row r="80" spans="1:20" s="25" customFormat="1" ht="14.25">
      <c r="A80" s="106">
        <f t="shared" si="1"/>
        <v>63</v>
      </c>
      <c r="B80" s="121" t="s">
        <v>91</v>
      </c>
      <c r="C80" s="121"/>
      <c r="D80" s="13" t="s">
        <v>26</v>
      </c>
      <c r="E80" s="9">
        <f>ROUND(E79*100*1.05,2)</f>
        <v>661.5</v>
      </c>
      <c r="F80" s="36"/>
      <c r="G80" s="36"/>
      <c r="H80" s="4"/>
      <c r="I80" s="4"/>
      <c r="J80" s="4"/>
      <c r="K80" s="337"/>
      <c r="L80" s="338"/>
      <c r="M80" s="338"/>
      <c r="N80" s="338"/>
      <c r="O80" s="338"/>
      <c r="P80" s="339"/>
      <c r="T80" s="36"/>
    </row>
    <row r="81" spans="1:16" s="157" customFormat="1" ht="12.75">
      <c r="A81" s="106">
        <f t="shared" si="1"/>
        <v>64</v>
      </c>
      <c r="B81" s="49" t="s">
        <v>1098</v>
      </c>
      <c r="C81" s="246"/>
      <c r="D81" s="241" t="s">
        <v>14</v>
      </c>
      <c r="E81" s="242">
        <v>3528</v>
      </c>
      <c r="F81" s="33"/>
      <c r="G81" s="318"/>
      <c r="H81" s="4"/>
      <c r="I81" s="4"/>
      <c r="J81" s="112"/>
      <c r="K81" s="337"/>
      <c r="L81" s="338"/>
      <c r="M81" s="338"/>
      <c r="N81" s="338"/>
      <c r="O81" s="338"/>
      <c r="P81" s="339"/>
    </row>
    <row r="82" spans="1:16" s="157" customFormat="1" ht="24">
      <c r="A82" s="106">
        <f t="shared" si="1"/>
        <v>65</v>
      </c>
      <c r="B82" s="235" t="s">
        <v>788</v>
      </c>
      <c r="C82" s="246"/>
      <c r="D82" s="241" t="s">
        <v>30</v>
      </c>
      <c r="E82" s="247">
        <v>1</v>
      </c>
      <c r="F82" s="107"/>
      <c r="G82" s="108"/>
      <c r="H82" s="108"/>
      <c r="I82" s="129"/>
      <c r="J82" s="4"/>
      <c r="K82" s="108"/>
      <c r="L82" s="108"/>
      <c r="M82" s="108"/>
      <c r="N82" s="108"/>
      <c r="O82" s="108"/>
      <c r="P82" s="109"/>
    </row>
    <row r="83" spans="1:16" s="157" customFormat="1" ht="12.75">
      <c r="A83" s="106"/>
      <c r="B83" s="239" t="s">
        <v>810</v>
      </c>
      <c r="C83" s="246"/>
      <c r="D83" s="241"/>
      <c r="E83" s="242"/>
      <c r="F83" s="107"/>
      <c r="G83" s="108"/>
      <c r="H83" s="4"/>
      <c r="I83" s="4"/>
      <c r="J83" s="4"/>
      <c r="K83" s="108"/>
      <c r="L83" s="108"/>
      <c r="M83" s="108"/>
      <c r="N83" s="108"/>
      <c r="O83" s="108"/>
      <c r="P83" s="109"/>
    </row>
    <row r="84" spans="1:16" s="157" customFormat="1" ht="24">
      <c r="A84" s="106">
        <v>66</v>
      </c>
      <c r="B84" s="235" t="s">
        <v>811</v>
      </c>
      <c r="C84" s="246"/>
      <c r="D84" s="241" t="s">
        <v>42</v>
      </c>
      <c r="E84" s="243">
        <v>100</v>
      </c>
      <c r="F84" s="33"/>
      <c r="G84" s="4"/>
      <c r="H84" s="4"/>
      <c r="I84" s="129"/>
      <c r="J84" s="4"/>
      <c r="K84" s="337"/>
      <c r="L84" s="338"/>
      <c r="M84" s="338"/>
      <c r="N84" s="338"/>
      <c r="O84" s="338"/>
      <c r="P84" s="339"/>
    </row>
    <row r="85" spans="1:16" s="157" customFormat="1" ht="24">
      <c r="A85" s="106">
        <f t="shared" si="1"/>
        <v>67</v>
      </c>
      <c r="B85" s="235" t="s">
        <v>812</v>
      </c>
      <c r="C85" s="246"/>
      <c r="D85" s="241" t="s">
        <v>42</v>
      </c>
      <c r="E85" s="243">
        <v>9</v>
      </c>
      <c r="F85" s="33"/>
      <c r="G85" s="4"/>
      <c r="H85" s="4"/>
      <c r="I85" s="129"/>
      <c r="J85" s="4"/>
      <c r="K85" s="337"/>
      <c r="L85" s="338"/>
      <c r="M85" s="338"/>
      <c r="N85" s="338"/>
      <c r="O85" s="338"/>
      <c r="P85" s="339"/>
    </row>
    <row r="86" spans="1:16" s="157" customFormat="1" ht="12.75">
      <c r="A86" s="106">
        <f t="shared" si="1"/>
        <v>68</v>
      </c>
      <c r="B86" s="235" t="s">
        <v>867</v>
      </c>
      <c r="C86" s="246"/>
      <c r="D86" s="241" t="s">
        <v>29</v>
      </c>
      <c r="E86" s="247">
        <v>1</v>
      </c>
      <c r="F86" s="33"/>
      <c r="G86" s="4"/>
      <c r="H86" s="4"/>
      <c r="I86" s="129"/>
      <c r="J86" s="4"/>
      <c r="K86" s="337"/>
      <c r="L86" s="338"/>
      <c r="M86" s="338"/>
      <c r="N86" s="338"/>
      <c r="O86" s="338"/>
      <c r="P86" s="339"/>
    </row>
    <row r="87" spans="1:16" s="157" customFormat="1" ht="24">
      <c r="A87" s="106">
        <f t="shared" si="1"/>
        <v>69</v>
      </c>
      <c r="B87" s="235" t="s">
        <v>868</v>
      </c>
      <c r="C87" s="246"/>
      <c r="D87" s="241" t="s">
        <v>29</v>
      </c>
      <c r="E87" s="247">
        <v>1</v>
      </c>
      <c r="F87" s="33"/>
      <c r="G87" s="4"/>
      <c r="H87" s="4"/>
      <c r="I87" s="129"/>
      <c r="J87" s="4"/>
      <c r="K87" s="337"/>
      <c r="L87" s="338"/>
      <c r="M87" s="338"/>
      <c r="N87" s="338"/>
      <c r="O87" s="338"/>
      <c r="P87" s="339"/>
    </row>
    <row r="88" spans="1:16" s="157" customFormat="1" ht="12.75">
      <c r="A88" s="106">
        <f t="shared" si="1"/>
        <v>70</v>
      </c>
      <c r="B88" s="235" t="s">
        <v>869</v>
      </c>
      <c r="C88" s="246"/>
      <c r="D88" s="241" t="s">
        <v>29</v>
      </c>
      <c r="E88" s="247">
        <v>1</v>
      </c>
      <c r="F88" s="33"/>
      <c r="G88" s="4"/>
      <c r="H88" s="4"/>
      <c r="I88" s="129"/>
      <c r="J88" s="4"/>
      <c r="K88" s="337"/>
      <c r="L88" s="338"/>
      <c r="M88" s="338"/>
      <c r="N88" s="338"/>
      <c r="O88" s="338"/>
      <c r="P88" s="339"/>
    </row>
    <row r="89" spans="1:16" s="157" customFormat="1" ht="24">
      <c r="A89" s="106">
        <f t="shared" si="1"/>
        <v>71</v>
      </c>
      <c r="B89" s="235" t="s">
        <v>870</v>
      </c>
      <c r="C89" s="246"/>
      <c r="D89" s="241" t="s">
        <v>29</v>
      </c>
      <c r="E89" s="247">
        <v>1</v>
      </c>
      <c r="F89" s="33"/>
      <c r="G89" s="4"/>
      <c r="H89" s="4"/>
      <c r="I89" s="129"/>
      <c r="J89" s="4"/>
      <c r="K89" s="337"/>
      <c r="L89" s="338"/>
      <c r="M89" s="338"/>
      <c r="N89" s="338"/>
      <c r="O89" s="338"/>
      <c r="P89" s="339"/>
    </row>
    <row r="90" spans="1:16" s="157" customFormat="1" ht="12.75">
      <c r="A90" s="106">
        <f t="shared" si="1"/>
        <v>72</v>
      </c>
      <c r="B90" s="235" t="s">
        <v>813</v>
      </c>
      <c r="C90" s="246"/>
      <c r="D90" s="241" t="s">
        <v>29</v>
      </c>
      <c r="E90" s="247">
        <v>1</v>
      </c>
      <c r="F90" s="33"/>
      <c r="G90" s="4"/>
      <c r="H90" s="4"/>
      <c r="I90" s="129"/>
      <c r="J90" s="4"/>
      <c r="K90" s="337"/>
      <c r="L90" s="338"/>
      <c r="M90" s="338"/>
      <c r="N90" s="338"/>
      <c r="O90" s="338"/>
      <c r="P90" s="339"/>
    </row>
    <row r="91" spans="1:16" s="157" customFormat="1" ht="12.75">
      <c r="A91" s="106">
        <f t="shared" si="1"/>
        <v>73</v>
      </c>
      <c r="B91" s="235" t="s">
        <v>814</v>
      </c>
      <c r="C91" s="246"/>
      <c r="D91" s="241" t="s">
        <v>29</v>
      </c>
      <c r="E91" s="247">
        <v>1</v>
      </c>
      <c r="F91" s="33"/>
      <c r="G91" s="4"/>
      <c r="H91" s="4"/>
      <c r="I91" s="4"/>
      <c r="J91" s="4"/>
      <c r="K91" s="337"/>
      <c r="L91" s="338"/>
      <c r="M91" s="338"/>
      <c r="N91" s="338"/>
      <c r="O91" s="338"/>
      <c r="P91" s="339"/>
    </row>
    <row r="92" spans="1:16" s="157" customFormat="1" ht="12.75">
      <c r="A92" s="106">
        <f t="shared" si="1"/>
        <v>74</v>
      </c>
      <c r="B92" s="235" t="s">
        <v>815</v>
      </c>
      <c r="C92" s="246"/>
      <c r="D92" s="241" t="s">
        <v>29</v>
      </c>
      <c r="E92" s="247">
        <v>1</v>
      </c>
      <c r="F92" s="33"/>
      <c r="G92" s="4"/>
      <c r="H92" s="4"/>
      <c r="I92" s="4"/>
      <c r="J92" s="4"/>
      <c r="K92" s="337"/>
      <c r="L92" s="338"/>
      <c r="M92" s="338"/>
      <c r="N92" s="338"/>
      <c r="O92" s="338"/>
      <c r="P92" s="339"/>
    </row>
    <row r="93" spans="1:16" s="157" customFormat="1" ht="12.75">
      <c r="A93" s="106">
        <f t="shared" si="1"/>
        <v>75</v>
      </c>
      <c r="B93" s="235" t="s">
        <v>871</v>
      </c>
      <c r="C93" s="246" t="s">
        <v>816</v>
      </c>
      <c r="D93" s="241" t="s">
        <v>29</v>
      </c>
      <c r="E93" s="247">
        <v>1</v>
      </c>
      <c r="F93" s="33"/>
      <c r="G93" s="4"/>
      <c r="H93" s="4"/>
      <c r="I93" s="129"/>
      <c r="J93" s="4"/>
      <c r="K93" s="337"/>
      <c r="L93" s="338"/>
      <c r="M93" s="338"/>
      <c r="N93" s="338"/>
      <c r="O93" s="338"/>
      <c r="P93" s="339"/>
    </row>
    <row r="94" spans="1:16" s="157" customFormat="1" ht="12.75">
      <c r="A94" s="106">
        <f t="shared" si="1"/>
        <v>76</v>
      </c>
      <c r="B94" s="235" t="s">
        <v>872</v>
      </c>
      <c r="C94" s="246"/>
      <c r="D94" s="241" t="s">
        <v>29</v>
      </c>
      <c r="E94" s="247">
        <v>2</v>
      </c>
      <c r="F94" s="33"/>
      <c r="G94" s="4"/>
      <c r="H94" s="4"/>
      <c r="I94" s="129"/>
      <c r="J94" s="4"/>
      <c r="K94" s="337"/>
      <c r="L94" s="338"/>
      <c r="M94" s="338"/>
      <c r="N94" s="338"/>
      <c r="O94" s="338"/>
      <c r="P94" s="339"/>
    </row>
    <row r="95" spans="1:16" s="157" customFormat="1" ht="12.75">
      <c r="A95" s="106">
        <f t="shared" si="1"/>
        <v>77</v>
      </c>
      <c r="B95" s="235" t="s">
        <v>817</v>
      </c>
      <c r="C95" s="246"/>
      <c r="D95" s="241" t="s">
        <v>29</v>
      </c>
      <c r="E95" s="247">
        <v>1</v>
      </c>
      <c r="F95" s="33"/>
      <c r="G95" s="4"/>
      <c r="H95" s="4"/>
      <c r="I95" s="129"/>
      <c r="J95" s="4"/>
      <c r="K95" s="337"/>
      <c r="L95" s="338"/>
      <c r="M95" s="338"/>
      <c r="N95" s="338"/>
      <c r="O95" s="338"/>
      <c r="P95" s="339"/>
    </row>
    <row r="96" spans="1:16" s="157" customFormat="1" ht="12.75">
      <c r="A96" s="106">
        <f t="shared" si="1"/>
        <v>78</v>
      </c>
      <c r="B96" s="235" t="s">
        <v>818</v>
      </c>
      <c r="C96" s="246"/>
      <c r="D96" s="241" t="s">
        <v>29</v>
      </c>
      <c r="E96" s="247">
        <v>1</v>
      </c>
      <c r="F96" s="33"/>
      <c r="G96" s="4"/>
      <c r="H96" s="4"/>
      <c r="I96" s="129"/>
      <c r="J96" s="4"/>
      <c r="K96" s="337"/>
      <c r="L96" s="338"/>
      <c r="M96" s="338"/>
      <c r="N96" s="338"/>
      <c r="O96" s="338"/>
      <c r="P96" s="339"/>
    </row>
    <row r="97" spans="1:16" s="157" customFormat="1" ht="12.75">
      <c r="A97" s="106">
        <f t="shared" si="1"/>
        <v>79</v>
      </c>
      <c r="B97" s="235" t="s">
        <v>819</v>
      </c>
      <c r="C97" s="246"/>
      <c r="D97" s="241" t="s">
        <v>29</v>
      </c>
      <c r="E97" s="247">
        <v>1</v>
      </c>
      <c r="F97" s="33"/>
      <c r="G97" s="4"/>
      <c r="H97" s="4"/>
      <c r="I97" s="129"/>
      <c r="J97" s="4"/>
      <c r="K97" s="337"/>
      <c r="L97" s="338"/>
      <c r="M97" s="338"/>
      <c r="N97" s="338"/>
      <c r="O97" s="338"/>
      <c r="P97" s="339"/>
    </row>
    <row r="98" spans="1:16" s="157" customFormat="1" ht="12.75">
      <c r="A98" s="106">
        <f t="shared" si="1"/>
        <v>80</v>
      </c>
      <c r="B98" s="235" t="s">
        <v>820</v>
      </c>
      <c r="C98" s="246"/>
      <c r="D98" s="241" t="s">
        <v>29</v>
      </c>
      <c r="E98" s="247">
        <v>1</v>
      </c>
      <c r="F98" s="33"/>
      <c r="G98" s="4"/>
      <c r="H98" s="4"/>
      <c r="I98" s="129"/>
      <c r="J98" s="4"/>
      <c r="K98" s="337"/>
      <c r="L98" s="338"/>
      <c r="M98" s="338"/>
      <c r="N98" s="338"/>
      <c r="O98" s="338"/>
      <c r="P98" s="339"/>
    </row>
    <row r="99" spans="1:16" s="157" customFormat="1" ht="12.75">
      <c r="A99" s="106">
        <f t="shared" si="1"/>
        <v>81</v>
      </c>
      <c r="B99" s="235" t="s">
        <v>821</v>
      </c>
      <c r="C99" s="246"/>
      <c r="D99" s="241" t="s">
        <v>29</v>
      </c>
      <c r="E99" s="247">
        <v>2</v>
      </c>
      <c r="F99" s="9"/>
      <c r="G99" s="33"/>
      <c r="H99" s="4"/>
      <c r="I99" s="4"/>
      <c r="J99" s="4"/>
      <c r="K99" s="337"/>
      <c r="L99" s="338"/>
      <c r="M99" s="338"/>
      <c r="N99" s="338"/>
      <c r="O99" s="338"/>
      <c r="P99" s="339"/>
    </row>
    <row r="100" spans="1:16" s="157" customFormat="1" ht="12.75">
      <c r="A100" s="106">
        <f t="shared" si="1"/>
        <v>82</v>
      </c>
      <c r="B100" s="235" t="s">
        <v>822</v>
      </c>
      <c r="C100" s="246"/>
      <c r="D100" s="241" t="s">
        <v>29</v>
      </c>
      <c r="E100" s="247">
        <v>1</v>
      </c>
      <c r="F100" s="33"/>
      <c r="G100" s="33"/>
      <c r="H100" s="4"/>
      <c r="I100" s="4"/>
      <c r="J100" s="4"/>
      <c r="K100" s="337"/>
      <c r="L100" s="338"/>
      <c r="M100" s="338"/>
      <c r="N100" s="338"/>
      <c r="O100" s="338"/>
      <c r="P100" s="339"/>
    </row>
    <row r="101" spans="1:16" s="157" customFormat="1" ht="12.75">
      <c r="A101" s="106">
        <f t="shared" si="1"/>
        <v>83</v>
      </c>
      <c r="B101" s="235" t="s">
        <v>281</v>
      </c>
      <c r="C101" s="246"/>
      <c r="D101" s="241" t="s">
        <v>29</v>
      </c>
      <c r="E101" s="247">
        <v>4</v>
      </c>
      <c r="F101" s="107"/>
      <c r="G101" s="108"/>
      <c r="H101" s="108"/>
      <c r="I101" s="129"/>
      <c r="J101" s="4"/>
      <c r="K101" s="337"/>
      <c r="L101" s="338"/>
      <c r="M101" s="338"/>
      <c r="N101" s="338"/>
      <c r="O101" s="338"/>
      <c r="P101" s="339"/>
    </row>
    <row r="102" spans="1:16" s="157" customFormat="1" ht="81.599999999999994" customHeight="1">
      <c r="A102" s="106">
        <f t="shared" si="1"/>
        <v>84</v>
      </c>
      <c r="B102" s="235" t="s">
        <v>823</v>
      </c>
      <c r="C102" s="246"/>
      <c r="D102" s="241" t="s">
        <v>30</v>
      </c>
      <c r="E102" s="247">
        <v>2</v>
      </c>
      <c r="F102" s="33"/>
      <c r="G102" s="4"/>
      <c r="H102" s="4"/>
      <c r="I102" s="129"/>
      <c r="J102" s="4"/>
      <c r="K102" s="337"/>
      <c r="L102" s="338"/>
      <c r="M102" s="338"/>
      <c r="N102" s="338"/>
      <c r="O102" s="338"/>
      <c r="P102" s="339"/>
    </row>
    <row r="103" spans="1:16" s="157" customFormat="1" ht="12.75">
      <c r="A103" s="106">
        <f t="shared" si="1"/>
        <v>85</v>
      </c>
      <c r="B103" s="235" t="s">
        <v>873</v>
      </c>
      <c r="C103" s="246"/>
      <c r="D103" s="241" t="s">
        <v>30</v>
      </c>
      <c r="E103" s="247">
        <v>1</v>
      </c>
      <c r="F103" s="107"/>
      <c r="G103" s="108"/>
      <c r="H103" s="108"/>
      <c r="I103" s="4"/>
      <c r="J103" s="4"/>
      <c r="K103" s="337"/>
      <c r="L103" s="338"/>
      <c r="M103" s="338"/>
      <c r="N103" s="338"/>
      <c r="O103" s="338"/>
      <c r="P103" s="339"/>
    </row>
    <row r="104" spans="1:16" s="157" customFormat="1" ht="12.75">
      <c r="A104" s="106">
        <f t="shared" si="1"/>
        <v>86</v>
      </c>
      <c r="B104" s="235" t="s">
        <v>1197</v>
      </c>
      <c r="C104" s="246"/>
      <c r="D104" s="241" t="s">
        <v>30</v>
      </c>
      <c r="E104" s="247">
        <v>1</v>
      </c>
      <c r="F104" s="107"/>
      <c r="G104" s="108"/>
      <c r="H104" s="108"/>
      <c r="I104" s="4"/>
      <c r="J104" s="4"/>
      <c r="K104" s="337"/>
      <c r="L104" s="338"/>
      <c r="M104" s="338"/>
      <c r="N104" s="338"/>
      <c r="O104" s="338"/>
      <c r="P104" s="339"/>
    </row>
    <row r="105" spans="1:16" s="157" customFormat="1" ht="12.75">
      <c r="A105" s="106">
        <f t="shared" si="1"/>
        <v>87</v>
      </c>
      <c r="B105" s="235" t="s">
        <v>1231</v>
      </c>
      <c r="C105" s="246"/>
      <c r="D105" s="241" t="s">
        <v>30</v>
      </c>
      <c r="E105" s="247">
        <v>1</v>
      </c>
      <c r="F105" s="107"/>
      <c r="G105" s="108"/>
      <c r="H105" s="108"/>
      <c r="I105" s="4"/>
      <c r="J105" s="4"/>
      <c r="K105" s="337"/>
      <c r="L105" s="338"/>
      <c r="M105" s="338"/>
      <c r="N105" s="338"/>
      <c r="O105" s="338"/>
      <c r="P105" s="339"/>
    </row>
    <row r="106" spans="1:16" s="157" customFormat="1" ht="12.75">
      <c r="A106" s="106">
        <f t="shared" si="1"/>
        <v>88</v>
      </c>
      <c r="B106" s="235" t="s">
        <v>1180</v>
      </c>
      <c r="C106" s="246"/>
      <c r="D106" s="241" t="s">
        <v>1181</v>
      </c>
      <c r="E106" s="247">
        <v>1</v>
      </c>
      <c r="F106" s="107"/>
      <c r="G106" s="4"/>
      <c r="H106" s="4"/>
      <c r="I106" s="4"/>
      <c r="J106" s="4"/>
      <c r="K106" s="108"/>
      <c r="L106" s="108"/>
      <c r="M106" s="108"/>
      <c r="N106" s="108"/>
      <c r="O106" s="108"/>
      <c r="P106" s="109"/>
    </row>
    <row r="107" spans="1:16" s="157" customFormat="1" ht="12.75">
      <c r="A107" s="106">
        <f t="shared" si="1"/>
        <v>89</v>
      </c>
      <c r="B107" s="235" t="s">
        <v>1182</v>
      </c>
      <c r="C107" s="246"/>
      <c r="D107" s="241" t="s">
        <v>1181</v>
      </c>
      <c r="E107" s="247">
        <v>1</v>
      </c>
      <c r="F107" s="107"/>
      <c r="G107" s="4"/>
      <c r="H107" s="4"/>
      <c r="I107" s="4"/>
      <c r="J107" s="4"/>
      <c r="K107" s="108"/>
      <c r="L107" s="108"/>
      <c r="M107" s="108"/>
      <c r="N107" s="108"/>
      <c r="O107" s="108"/>
      <c r="P107" s="109"/>
    </row>
    <row r="108" spans="1:16" s="157" customFormat="1" ht="12.75">
      <c r="A108" s="106">
        <f t="shared" si="1"/>
        <v>90</v>
      </c>
      <c r="B108" s="235" t="s">
        <v>1183</v>
      </c>
      <c r="C108" s="246"/>
      <c r="D108" s="241" t="s">
        <v>1181</v>
      </c>
      <c r="E108" s="247">
        <v>1</v>
      </c>
      <c r="F108" s="107"/>
      <c r="G108" s="4"/>
      <c r="H108" s="4"/>
      <c r="I108" s="4"/>
      <c r="J108" s="4"/>
      <c r="K108" s="108"/>
      <c r="L108" s="108"/>
      <c r="M108" s="108"/>
      <c r="N108" s="108"/>
      <c r="O108" s="108"/>
      <c r="P108" s="109"/>
    </row>
    <row r="109" spans="1:16" s="157" customFormat="1" ht="12.75">
      <c r="A109" s="106">
        <f t="shared" si="1"/>
        <v>91</v>
      </c>
      <c r="B109" s="235" t="s">
        <v>1184</v>
      </c>
      <c r="C109" s="246"/>
      <c r="D109" s="241" t="s">
        <v>1181</v>
      </c>
      <c r="E109" s="247">
        <v>1</v>
      </c>
      <c r="F109" s="107"/>
      <c r="G109" s="4"/>
      <c r="H109" s="4"/>
      <c r="I109" s="4"/>
      <c r="J109" s="4"/>
      <c r="K109" s="108"/>
      <c r="L109" s="108"/>
      <c r="M109" s="108"/>
      <c r="N109" s="108"/>
      <c r="O109" s="108"/>
      <c r="P109" s="109"/>
    </row>
    <row r="110" spans="1:16" s="157" customFormat="1" ht="12.75">
      <c r="A110" s="106">
        <f t="shared" si="1"/>
        <v>92</v>
      </c>
      <c r="B110" s="235" t="s">
        <v>1185</v>
      </c>
      <c r="C110" s="246"/>
      <c r="D110" s="241" t="s">
        <v>1181</v>
      </c>
      <c r="E110" s="247">
        <v>1</v>
      </c>
      <c r="F110" s="107"/>
      <c r="G110" s="4"/>
      <c r="H110" s="4"/>
      <c r="I110" s="4"/>
      <c r="J110" s="4"/>
      <c r="K110" s="108"/>
      <c r="L110" s="108"/>
      <c r="M110" s="108"/>
      <c r="N110" s="108"/>
      <c r="O110" s="108"/>
      <c r="P110" s="109"/>
    </row>
    <row r="111" spans="1:16" s="157" customFormat="1" ht="12.75">
      <c r="A111" s="106">
        <f t="shared" si="1"/>
        <v>93</v>
      </c>
      <c r="B111" s="235" t="s">
        <v>1186</v>
      </c>
      <c r="C111" s="246"/>
      <c r="D111" s="241" t="s">
        <v>1181</v>
      </c>
      <c r="E111" s="247">
        <v>1</v>
      </c>
      <c r="F111" s="107"/>
      <c r="G111" s="4"/>
      <c r="H111" s="4"/>
      <c r="I111" s="4"/>
      <c r="J111" s="4"/>
      <c r="K111" s="108"/>
      <c r="L111" s="108"/>
      <c r="M111" s="108"/>
      <c r="N111" s="108"/>
      <c r="O111" s="108"/>
      <c r="P111" s="109"/>
    </row>
    <row r="112" spans="1:16" s="157" customFormat="1" ht="12.75">
      <c r="A112" s="106">
        <f t="shared" si="1"/>
        <v>94</v>
      </c>
      <c r="B112" s="235" t="s">
        <v>1187</v>
      </c>
      <c r="C112" s="246"/>
      <c r="D112" s="241" t="s">
        <v>1181</v>
      </c>
      <c r="E112" s="247">
        <v>1</v>
      </c>
      <c r="F112" s="107"/>
      <c r="G112" s="4"/>
      <c r="H112" s="4"/>
      <c r="I112" s="4"/>
      <c r="J112" s="4"/>
      <c r="K112" s="108"/>
      <c r="L112" s="108"/>
      <c r="M112" s="108"/>
      <c r="N112" s="108"/>
      <c r="O112" s="108"/>
      <c r="P112" s="109"/>
    </row>
    <row r="113" spans="1:20" s="157" customFormat="1" ht="12.75">
      <c r="A113" s="106">
        <f t="shared" si="1"/>
        <v>95</v>
      </c>
      <c r="B113" s="235" t="s">
        <v>1188</v>
      </c>
      <c r="C113" s="246"/>
      <c r="D113" s="241" t="s">
        <v>1181</v>
      </c>
      <c r="E113" s="247">
        <v>2</v>
      </c>
      <c r="F113" s="107"/>
      <c r="G113" s="4"/>
      <c r="H113" s="4"/>
      <c r="I113" s="4"/>
      <c r="J113" s="4"/>
      <c r="K113" s="108"/>
      <c r="L113" s="108"/>
      <c r="M113" s="108"/>
      <c r="N113" s="108"/>
      <c r="O113" s="108"/>
      <c r="P113" s="109"/>
    </row>
    <row r="114" spans="1:20" s="157" customFormat="1" ht="12.75">
      <c r="A114" s="106">
        <f t="shared" si="1"/>
        <v>96</v>
      </c>
      <c r="B114" s="235" t="s">
        <v>1189</v>
      </c>
      <c r="C114" s="246"/>
      <c r="D114" s="241" t="s">
        <v>1181</v>
      </c>
      <c r="E114" s="247">
        <v>1</v>
      </c>
      <c r="F114" s="107"/>
      <c r="G114" s="4"/>
      <c r="H114" s="4"/>
      <c r="I114" s="4"/>
      <c r="J114" s="4"/>
      <c r="K114" s="108"/>
      <c r="L114" s="108"/>
      <c r="M114" s="108"/>
      <c r="N114" s="108"/>
      <c r="O114" s="108"/>
      <c r="P114" s="109"/>
    </row>
    <row r="115" spans="1:20" s="157" customFormat="1" ht="12.75">
      <c r="A115" s="106">
        <f t="shared" si="1"/>
        <v>97</v>
      </c>
      <c r="B115" s="235" t="s">
        <v>1190</v>
      </c>
      <c r="C115" s="246"/>
      <c r="D115" s="241" t="s">
        <v>1181</v>
      </c>
      <c r="E115" s="247">
        <v>1</v>
      </c>
      <c r="F115" s="107"/>
      <c r="G115" s="4"/>
      <c r="H115" s="4"/>
      <c r="I115" s="4"/>
      <c r="J115" s="4"/>
      <c r="K115" s="108"/>
      <c r="L115" s="108"/>
      <c r="M115" s="108"/>
      <c r="N115" s="108"/>
      <c r="O115" s="108"/>
      <c r="P115" s="109"/>
    </row>
    <row r="116" spans="1:20" s="157" customFormat="1" ht="12.75">
      <c r="A116" s="106">
        <f t="shared" si="1"/>
        <v>98</v>
      </c>
      <c r="B116" s="235" t="s">
        <v>1191</v>
      </c>
      <c r="C116" s="246"/>
      <c r="D116" s="241" t="s">
        <v>1181</v>
      </c>
      <c r="E116" s="247">
        <v>1</v>
      </c>
      <c r="F116" s="107"/>
      <c r="G116" s="4"/>
      <c r="H116" s="4"/>
      <c r="I116" s="4"/>
      <c r="J116" s="4"/>
      <c r="K116" s="108"/>
      <c r="L116" s="108"/>
      <c r="M116" s="108"/>
      <c r="N116" s="108"/>
      <c r="O116" s="108"/>
      <c r="P116" s="109"/>
    </row>
    <row r="117" spans="1:20" s="157" customFormat="1" ht="24">
      <c r="A117" s="106">
        <f t="shared" si="1"/>
        <v>99</v>
      </c>
      <c r="B117" s="235" t="s">
        <v>1192</v>
      </c>
      <c r="C117" s="246"/>
      <c r="D117" s="241" t="s">
        <v>1181</v>
      </c>
      <c r="E117" s="247">
        <v>1</v>
      </c>
      <c r="F117" s="107"/>
      <c r="G117" s="4"/>
      <c r="H117" s="4"/>
      <c r="I117" s="4"/>
      <c r="J117" s="4"/>
      <c r="K117" s="108"/>
      <c r="L117" s="108"/>
      <c r="M117" s="108"/>
      <c r="N117" s="108"/>
      <c r="O117" s="108"/>
      <c r="P117" s="109"/>
    </row>
    <row r="118" spans="1:20" s="157" customFormat="1" ht="12.75">
      <c r="A118" s="106">
        <f t="shared" si="1"/>
        <v>100</v>
      </c>
      <c r="B118" s="235" t="s">
        <v>1193</v>
      </c>
      <c r="C118" s="246"/>
      <c r="D118" s="241" t="s">
        <v>1181</v>
      </c>
      <c r="E118" s="247">
        <v>1</v>
      </c>
      <c r="F118" s="107"/>
      <c r="G118" s="4"/>
      <c r="H118" s="4"/>
      <c r="I118" s="4"/>
      <c r="J118" s="4"/>
      <c r="K118" s="108"/>
      <c r="L118" s="108"/>
      <c r="M118" s="108"/>
      <c r="N118" s="108"/>
      <c r="O118" s="108"/>
      <c r="P118" s="109"/>
    </row>
    <row r="119" spans="1:20" s="157" customFormat="1" ht="12.75">
      <c r="A119" s="106">
        <f t="shared" si="1"/>
        <v>101</v>
      </c>
      <c r="B119" s="235" t="s">
        <v>1194</v>
      </c>
      <c r="C119" s="246"/>
      <c r="D119" s="241" t="s">
        <v>1181</v>
      </c>
      <c r="E119" s="247">
        <v>1</v>
      </c>
      <c r="F119" s="107"/>
      <c r="G119" s="4"/>
      <c r="H119" s="4"/>
      <c r="I119" s="4"/>
      <c r="J119" s="4"/>
      <c r="K119" s="108"/>
      <c r="L119" s="108"/>
      <c r="M119" s="108"/>
      <c r="N119" s="108"/>
      <c r="O119" s="108"/>
      <c r="P119" s="109"/>
    </row>
    <row r="120" spans="1:20" s="157" customFormat="1" ht="12.75">
      <c r="A120" s="106">
        <f t="shared" si="1"/>
        <v>102</v>
      </c>
      <c r="B120" s="235" t="s">
        <v>1195</v>
      </c>
      <c r="C120" s="246"/>
      <c r="D120" s="241" t="s">
        <v>1181</v>
      </c>
      <c r="E120" s="247">
        <v>3</v>
      </c>
      <c r="F120" s="107"/>
      <c r="G120" s="4"/>
      <c r="H120" s="4"/>
      <c r="I120" s="4"/>
      <c r="J120" s="4"/>
      <c r="K120" s="108"/>
      <c r="L120" s="108"/>
      <c r="M120" s="108"/>
      <c r="N120" s="108"/>
      <c r="O120" s="108"/>
      <c r="P120" s="109"/>
    </row>
    <row r="121" spans="1:20" s="157" customFormat="1" ht="12.75">
      <c r="A121" s="106">
        <f t="shared" si="1"/>
        <v>103</v>
      </c>
      <c r="B121" s="235" t="s">
        <v>1196</v>
      </c>
      <c r="C121" s="246"/>
      <c r="D121" s="241" t="s">
        <v>1181</v>
      </c>
      <c r="E121" s="247">
        <v>1</v>
      </c>
      <c r="F121" s="107"/>
      <c r="G121" s="4"/>
      <c r="H121" s="4"/>
      <c r="I121" s="4"/>
      <c r="J121" s="4"/>
      <c r="K121" s="108"/>
      <c r="L121" s="108"/>
      <c r="M121" s="108"/>
      <c r="N121" s="108"/>
      <c r="O121" s="108"/>
      <c r="P121" s="109"/>
    </row>
    <row r="122" spans="1:20" s="157" customFormat="1" ht="24">
      <c r="A122" s="106">
        <f t="shared" si="1"/>
        <v>104</v>
      </c>
      <c r="B122" s="235" t="s">
        <v>824</v>
      </c>
      <c r="C122" s="246" t="s">
        <v>825</v>
      </c>
      <c r="D122" s="241" t="s">
        <v>30</v>
      </c>
      <c r="E122" s="247">
        <v>1</v>
      </c>
      <c r="F122" s="107"/>
      <c r="G122" s="4"/>
      <c r="H122" s="4"/>
      <c r="I122" s="4"/>
      <c r="J122" s="4"/>
      <c r="K122" s="337"/>
      <c r="L122" s="338"/>
      <c r="M122" s="338"/>
      <c r="N122" s="338"/>
      <c r="O122" s="338"/>
      <c r="P122" s="339"/>
    </row>
    <row r="123" spans="1:20" s="157" customFormat="1" ht="60">
      <c r="A123" s="106">
        <f t="shared" si="1"/>
        <v>105</v>
      </c>
      <c r="B123" s="235" t="s">
        <v>795</v>
      </c>
      <c r="C123" s="246"/>
      <c r="D123" s="241" t="s">
        <v>30</v>
      </c>
      <c r="E123" s="247">
        <v>1</v>
      </c>
      <c r="F123" s="33"/>
      <c r="G123" s="4"/>
      <c r="H123" s="4"/>
      <c r="I123" s="129"/>
      <c r="J123" s="4"/>
      <c r="K123" s="337"/>
      <c r="L123" s="338"/>
      <c r="M123" s="338"/>
      <c r="N123" s="338"/>
      <c r="O123" s="338"/>
      <c r="P123" s="339"/>
    </row>
    <row r="124" spans="1:20" s="157" customFormat="1" ht="12.75">
      <c r="A124" s="106">
        <f t="shared" si="1"/>
        <v>106</v>
      </c>
      <c r="B124" s="235" t="s">
        <v>826</v>
      </c>
      <c r="C124" s="246"/>
      <c r="D124" s="241" t="s">
        <v>30</v>
      </c>
      <c r="E124" s="247">
        <v>1</v>
      </c>
      <c r="F124" s="107"/>
      <c r="G124" s="4"/>
      <c r="H124" s="4"/>
      <c r="I124" s="4"/>
      <c r="J124" s="4"/>
      <c r="K124" s="337"/>
      <c r="L124" s="338"/>
      <c r="M124" s="338"/>
      <c r="N124" s="338"/>
      <c r="O124" s="338"/>
      <c r="P124" s="339"/>
    </row>
    <row r="125" spans="1:20" s="157" customFormat="1" ht="12.75">
      <c r="A125" s="106"/>
      <c r="B125" s="239" t="s">
        <v>827</v>
      </c>
      <c r="C125" s="246"/>
      <c r="D125" s="241"/>
      <c r="E125" s="242"/>
      <c r="F125" s="107"/>
      <c r="G125" s="108"/>
      <c r="H125" s="4"/>
      <c r="I125" s="4"/>
      <c r="J125" s="4"/>
      <c r="K125" s="337"/>
      <c r="L125" s="338"/>
      <c r="M125" s="338"/>
      <c r="N125" s="338"/>
      <c r="O125" s="338"/>
      <c r="P125" s="339"/>
    </row>
    <row r="126" spans="1:20" s="157" customFormat="1" ht="12.75">
      <c r="A126" s="106">
        <v>107</v>
      </c>
      <c r="B126" s="235" t="s">
        <v>786</v>
      </c>
      <c r="C126" s="246"/>
      <c r="D126" s="241" t="s">
        <v>1082</v>
      </c>
      <c r="E126" s="242">
        <v>4.28</v>
      </c>
      <c r="F126" s="107"/>
      <c r="G126" s="108"/>
      <c r="H126" s="108"/>
      <c r="I126" s="129"/>
      <c r="J126" s="4"/>
      <c r="K126" s="337"/>
      <c r="L126" s="338"/>
      <c r="M126" s="338"/>
      <c r="N126" s="338"/>
      <c r="O126" s="338"/>
      <c r="P126" s="339"/>
    </row>
    <row r="127" spans="1:20" s="157" customFormat="1" ht="24">
      <c r="A127" s="106">
        <f t="shared" si="1"/>
        <v>108</v>
      </c>
      <c r="B127" s="235" t="s">
        <v>787</v>
      </c>
      <c r="C127" s="246"/>
      <c r="D127" s="241" t="s">
        <v>1082</v>
      </c>
      <c r="E127" s="242">
        <v>0.7</v>
      </c>
      <c r="F127" s="33"/>
      <c r="G127" s="33"/>
      <c r="H127" s="4"/>
      <c r="I127" s="4"/>
      <c r="J127" s="4"/>
      <c r="K127" s="337"/>
      <c r="L127" s="338"/>
      <c r="M127" s="338"/>
      <c r="N127" s="338"/>
      <c r="O127" s="338"/>
      <c r="P127" s="339"/>
    </row>
    <row r="128" spans="1:20" s="25" customFormat="1" ht="14.25">
      <c r="A128" s="106">
        <f t="shared" si="1"/>
        <v>109</v>
      </c>
      <c r="B128" s="121" t="s">
        <v>91</v>
      </c>
      <c r="C128" s="121"/>
      <c r="D128" s="13" t="s">
        <v>26</v>
      </c>
      <c r="E128" s="9">
        <f>ROUND(E127*100*1.05,2)</f>
        <v>73.5</v>
      </c>
      <c r="F128" s="36"/>
      <c r="G128" s="36"/>
      <c r="H128" s="4"/>
      <c r="I128" s="4"/>
      <c r="J128" s="4"/>
      <c r="K128" s="337"/>
      <c r="L128" s="338"/>
      <c r="M128" s="338"/>
      <c r="N128" s="338"/>
      <c r="O128" s="338"/>
      <c r="P128" s="339"/>
      <c r="T128" s="36"/>
    </row>
    <row r="129" spans="1:16" s="157" customFormat="1" ht="12.75">
      <c r="A129" s="106">
        <f t="shared" si="1"/>
        <v>110</v>
      </c>
      <c r="B129" s="49" t="s">
        <v>1098</v>
      </c>
      <c r="C129" s="246"/>
      <c r="D129" s="241" t="s">
        <v>14</v>
      </c>
      <c r="E129" s="242">
        <v>375</v>
      </c>
      <c r="F129" s="33"/>
      <c r="G129" s="318"/>
      <c r="H129" s="4"/>
      <c r="I129" s="4"/>
      <c r="J129" s="112"/>
      <c r="K129" s="337"/>
      <c r="L129" s="338"/>
      <c r="M129" s="338"/>
      <c r="N129" s="338"/>
      <c r="O129" s="338"/>
      <c r="P129" s="339"/>
    </row>
    <row r="130" spans="1:16" s="157" customFormat="1" ht="24">
      <c r="A130" s="106">
        <f t="shared" si="1"/>
        <v>111</v>
      </c>
      <c r="B130" s="235" t="s">
        <v>828</v>
      </c>
      <c r="C130" s="246"/>
      <c r="D130" s="241" t="s">
        <v>282</v>
      </c>
      <c r="E130" s="247">
        <v>5</v>
      </c>
      <c r="F130" s="33"/>
      <c r="G130" s="4"/>
      <c r="H130" s="4"/>
      <c r="I130" s="4"/>
      <c r="J130" s="4"/>
      <c r="K130" s="337"/>
      <c r="L130" s="338"/>
      <c r="M130" s="338"/>
      <c r="N130" s="338"/>
      <c r="O130" s="338"/>
      <c r="P130" s="339"/>
    </row>
    <row r="131" spans="1:16" s="157" customFormat="1" ht="24">
      <c r="A131" s="106">
        <f t="shared" si="1"/>
        <v>112</v>
      </c>
      <c r="B131" s="235" t="s">
        <v>788</v>
      </c>
      <c r="C131" s="246"/>
      <c r="D131" s="241" t="s">
        <v>30</v>
      </c>
      <c r="E131" s="247">
        <v>1</v>
      </c>
      <c r="F131" s="107"/>
      <c r="G131" s="108"/>
      <c r="H131" s="108"/>
      <c r="I131" s="129"/>
      <c r="J131" s="4"/>
      <c r="K131" s="108"/>
      <c r="L131" s="108"/>
      <c r="M131" s="108"/>
      <c r="N131" s="108"/>
      <c r="O131" s="108"/>
      <c r="P131" s="109"/>
    </row>
    <row r="132" spans="1:16" s="157" customFormat="1" ht="24">
      <c r="A132" s="106"/>
      <c r="B132" s="239" t="s">
        <v>829</v>
      </c>
      <c r="C132" s="246"/>
      <c r="D132" s="241"/>
      <c r="E132" s="242"/>
      <c r="F132" s="107"/>
      <c r="G132" s="108"/>
      <c r="H132" s="4"/>
      <c r="I132" s="4"/>
      <c r="J132" s="4"/>
      <c r="K132" s="108"/>
      <c r="L132" s="108"/>
      <c r="M132" s="108"/>
      <c r="N132" s="108"/>
      <c r="O132" s="108"/>
      <c r="P132" s="109"/>
    </row>
    <row r="133" spans="1:16" s="157" customFormat="1" ht="24">
      <c r="A133" s="106">
        <v>113</v>
      </c>
      <c r="B133" s="235" t="s">
        <v>830</v>
      </c>
      <c r="C133" s="246"/>
      <c r="D133" s="241" t="s">
        <v>42</v>
      </c>
      <c r="E133" s="243">
        <v>75</v>
      </c>
      <c r="F133" s="33"/>
      <c r="G133" s="4"/>
      <c r="H133" s="4"/>
      <c r="I133" s="129"/>
      <c r="J133" s="4"/>
      <c r="K133" s="337"/>
      <c r="L133" s="338"/>
      <c r="M133" s="338"/>
      <c r="N133" s="338"/>
      <c r="O133" s="338"/>
      <c r="P133" s="339"/>
    </row>
    <row r="134" spans="1:16" s="157" customFormat="1" ht="12.75">
      <c r="A134" s="106">
        <f t="shared" si="1"/>
        <v>114</v>
      </c>
      <c r="B134" s="235" t="s">
        <v>831</v>
      </c>
      <c r="C134" s="246"/>
      <c r="D134" s="241" t="s">
        <v>29</v>
      </c>
      <c r="E134" s="247">
        <v>8</v>
      </c>
      <c r="F134" s="33"/>
      <c r="G134" s="4"/>
      <c r="H134" s="4"/>
      <c r="I134" s="4"/>
      <c r="J134" s="4"/>
      <c r="K134" s="337"/>
      <c r="L134" s="338"/>
      <c r="M134" s="338"/>
      <c r="N134" s="338"/>
      <c r="O134" s="338"/>
      <c r="P134" s="339"/>
    </row>
    <row r="135" spans="1:16" s="157" customFormat="1" ht="12.75">
      <c r="A135" s="106">
        <f t="shared" si="1"/>
        <v>115</v>
      </c>
      <c r="B135" s="235" t="s">
        <v>832</v>
      </c>
      <c r="C135" s="246"/>
      <c r="D135" s="241" t="s">
        <v>29</v>
      </c>
      <c r="E135" s="247">
        <v>4</v>
      </c>
      <c r="F135" s="33"/>
      <c r="G135" s="4"/>
      <c r="H135" s="4"/>
      <c r="I135" s="4"/>
      <c r="J135" s="4"/>
      <c r="K135" s="337"/>
      <c r="L135" s="338"/>
      <c r="M135" s="338"/>
      <c r="N135" s="338"/>
      <c r="O135" s="338"/>
      <c r="P135" s="339"/>
    </row>
    <row r="136" spans="1:16" s="157" customFormat="1" ht="12.75">
      <c r="A136" s="106">
        <f t="shared" si="1"/>
        <v>116</v>
      </c>
      <c r="B136" s="235" t="s">
        <v>833</v>
      </c>
      <c r="C136" s="246"/>
      <c r="D136" s="241" t="s">
        <v>30</v>
      </c>
      <c r="E136" s="247">
        <v>4</v>
      </c>
      <c r="F136" s="33"/>
      <c r="G136" s="4"/>
      <c r="H136" s="4"/>
      <c r="I136" s="129"/>
      <c r="J136" s="4"/>
      <c r="K136" s="337"/>
      <c r="L136" s="338"/>
      <c r="M136" s="338"/>
      <c r="N136" s="338"/>
      <c r="O136" s="338"/>
      <c r="P136" s="339"/>
    </row>
    <row r="137" spans="1:16" s="157" customFormat="1" ht="12.75">
      <c r="A137" s="106">
        <f t="shared" si="1"/>
        <v>117</v>
      </c>
      <c r="B137" s="235" t="s">
        <v>834</v>
      </c>
      <c r="C137" s="246"/>
      <c r="D137" s="241" t="s">
        <v>30</v>
      </c>
      <c r="E137" s="247">
        <v>4</v>
      </c>
      <c r="F137" s="33"/>
      <c r="G137" s="4"/>
      <c r="H137" s="4"/>
      <c r="I137" s="129"/>
      <c r="J137" s="4"/>
      <c r="K137" s="337"/>
      <c r="L137" s="338"/>
      <c r="M137" s="338"/>
      <c r="N137" s="338"/>
      <c r="O137" s="338"/>
      <c r="P137" s="339"/>
    </row>
    <row r="138" spans="1:16" s="157" customFormat="1" ht="69.599999999999994" customHeight="1">
      <c r="A138" s="106">
        <f t="shared" si="1"/>
        <v>118</v>
      </c>
      <c r="B138" s="235" t="s">
        <v>835</v>
      </c>
      <c r="C138" s="246"/>
      <c r="D138" s="241" t="s">
        <v>30</v>
      </c>
      <c r="E138" s="247">
        <v>5</v>
      </c>
      <c r="F138" s="33"/>
      <c r="G138" s="4"/>
      <c r="H138" s="4"/>
      <c r="I138" s="129"/>
      <c r="J138" s="4"/>
      <c r="K138" s="337"/>
      <c r="L138" s="338"/>
      <c r="M138" s="338"/>
      <c r="N138" s="338"/>
      <c r="O138" s="338"/>
      <c r="P138" s="339"/>
    </row>
    <row r="139" spans="1:16" s="157" customFormat="1" ht="12.75">
      <c r="A139" s="106">
        <f t="shared" si="1"/>
        <v>119</v>
      </c>
      <c r="B139" s="235" t="s">
        <v>841</v>
      </c>
      <c r="C139" s="246"/>
      <c r="D139" s="241" t="s">
        <v>30</v>
      </c>
      <c r="E139" s="247">
        <v>2</v>
      </c>
      <c r="F139" s="107"/>
      <c r="G139" s="108"/>
      <c r="H139" s="108"/>
      <c r="I139" s="4"/>
      <c r="J139" s="4"/>
      <c r="K139" s="337"/>
      <c r="L139" s="338"/>
      <c r="M139" s="338"/>
      <c r="N139" s="338"/>
      <c r="O139" s="338"/>
      <c r="P139" s="339"/>
    </row>
    <row r="140" spans="1:16" s="157" customFormat="1" ht="12.75">
      <c r="A140" s="106">
        <f t="shared" si="1"/>
        <v>120</v>
      </c>
      <c r="B140" s="235" t="s">
        <v>842</v>
      </c>
      <c r="C140" s="246"/>
      <c r="D140" s="241" t="s">
        <v>30</v>
      </c>
      <c r="E140" s="247">
        <v>2</v>
      </c>
      <c r="F140" s="107"/>
      <c r="G140" s="108"/>
      <c r="H140" s="108"/>
      <c r="I140" s="4"/>
      <c r="J140" s="4"/>
      <c r="K140" s="337"/>
      <c r="L140" s="338"/>
      <c r="M140" s="338"/>
      <c r="N140" s="338"/>
      <c r="O140" s="338"/>
      <c r="P140" s="339"/>
    </row>
    <row r="141" spans="1:16" s="157" customFormat="1" ht="12.75">
      <c r="A141" s="106">
        <f t="shared" si="1"/>
        <v>121</v>
      </c>
      <c r="B141" s="235" t="s">
        <v>843</v>
      </c>
      <c r="C141" s="246"/>
      <c r="D141" s="241" t="s">
        <v>30</v>
      </c>
      <c r="E141" s="247">
        <v>1</v>
      </c>
      <c r="F141" s="107"/>
      <c r="G141" s="108"/>
      <c r="H141" s="108"/>
      <c r="I141" s="4"/>
      <c r="J141" s="4"/>
      <c r="K141" s="337"/>
      <c r="L141" s="338"/>
      <c r="M141" s="338"/>
      <c r="N141" s="338"/>
      <c r="O141" s="338"/>
      <c r="P141" s="339"/>
    </row>
    <row r="142" spans="1:16" s="157" customFormat="1" ht="24">
      <c r="A142" s="106">
        <f t="shared" ref="A142:A156" si="2">A141+1</f>
        <v>122</v>
      </c>
      <c r="B142" s="235" t="s">
        <v>836</v>
      </c>
      <c r="C142" s="246"/>
      <c r="D142" s="241" t="s">
        <v>42</v>
      </c>
      <c r="E142" s="243">
        <v>85</v>
      </c>
      <c r="F142" s="33"/>
      <c r="G142" s="4"/>
      <c r="H142" s="4"/>
      <c r="I142" s="129"/>
      <c r="J142" s="4"/>
      <c r="K142" s="337"/>
      <c r="L142" s="338"/>
      <c r="M142" s="338"/>
      <c r="N142" s="338"/>
      <c r="O142" s="338"/>
      <c r="P142" s="339"/>
    </row>
    <row r="143" spans="1:16" s="157" customFormat="1" ht="12.75">
      <c r="A143" s="106">
        <f t="shared" si="2"/>
        <v>123</v>
      </c>
      <c r="B143" s="235" t="s">
        <v>874</v>
      </c>
      <c r="C143" s="246"/>
      <c r="D143" s="241" t="s">
        <v>29</v>
      </c>
      <c r="E143" s="247">
        <v>2</v>
      </c>
      <c r="F143" s="33"/>
      <c r="G143" s="4"/>
      <c r="H143" s="4"/>
      <c r="I143" s="129"/>
      <c r="J143" s="4"/>
      <c r="K143" s="337"/>
      <c r="L143" s="338"/>
      <c r="M143" s="338"/>
      <c r="N143" s="338"/>
      <c r="O143" s="338"/>
      <c r="P143" s="339"/>
    </row>
    <row r="144" spans="1:16" s="157" customFormat="1" ht="24">
      <c r="A144" s="106">
        <f t="shared" si="2"/>
        <v>124</v>
      </c>
      <c r="B144" s="235" t="s">
        <v>870</v>
      </c>
      <c r="C144" s="246"/>
      <c r="D144" s="241" t="s">
        <v>29</v>
      </c>
      <c r="E144" s="247">
        <v>2</v>
      </c>
      <c r="F144" s="33"/>
      <c r="G144" s="4"/>
      <c r="H144" s="4"/>
      <c r="I144" s="129"/>
      <c r="J144" s="4"/>
      <c r="K144" s="337"/>
      <c r="L144" s="338"/>
      <c r="M144" s="338"/>
      <c r="N144" s="338"/>
      <c r="O144" s="338"/>
      <c r="P144" s="339"/>
    </row>
    <row r="145" spans="1:27" s="157" customFormat="1" ht="49.5">
      <c r="A145" s="106">
        <f t="shared" si="2"/>
        <v>125</v>
      </c>
      <c r="B145" s="235" t="s">
        <v>875</v>
      </c>
      <c r="C145" s="246"/>
      <c r="D145" s="241" t="s">
        <v>30</v>
      </c>
      <c r="E145" s="247">
        <v>2</v>
      </c>
      <c r="F145" s="455"/>
      <c r="G145" s="455"/>
      <c r="H145" s="455"/>
      <c r="I145" s="455"/>
      <c r="J145" s="455"/>
      <c r="K145" s="461"/>
      <c r="L145" s="464"/>
      <c r="M145" s="464"/>
      <c r="N145" s="464"/>
      <c r="O145" s="464"/>
      <c r="P145" s="458"/>
    </row>
    <row r="146" spans="1:27" s="157" customFormat="1" ht="24">
      <c r="A146" s="106">
        <f t="shared" si="2"/>
        <v>126</v>
      </c>
      <c r="B146" s="235" t="s">
        <v>837</v>
      </c>
      <c r="C146" s="246"/>
      <c r="D146" s="241" t="s">
        <v>30</v>
      </c>
      <c r="E146" s="247">
        <v>1</v>
      </c>
      <c r="F146" s="456"/>
      <c r="G146" s="456"/>
      <c r="H146" s="456"/>
      <c r="I146" s="456"/>
      <c r="J146" s="456"/>
      <c r="K146" s="462"/>
      <c r="L146" s="465"/>
      <c r="M146" s="465"/>
      <c r="N146" s="465"/>
      <c r="O146" s="465"/>
      <c r="P146" s="459"/>
    </row>
    <row r="147" spans="1:27" s="157" customFormat="1" ht="24">
      <c r="A147" s="106">
        <f t="shared" si="2"/>
        <v>127</v>
      </c>
      <c r="B147" s="235" t="s">
        <v>838</v>
      </c>
      <c r="C147" s="246"/>
      <c r="D147" s="241" t="s">
        <v>30</v>
      </c>
      <c r="E147" s="247">
        <v>1</v>
      </c>
      <c r="F147" s="457"/>
      <c r="G147" s="457"/>
      <c r="H147" s="457"/>
      <c r="I147" s="457"/>
      <c r="J147" s="457"/>
      <c r="K147" s="463"/>
      <c r="L147" s="466"/>
      <c r="M147" s="466"/>
      <c r="N147" s="466"/>
      <c r="O147" s="466"/>
      <c r="P147" s="460"/>
    </row>
    <row r="148" spans="1:27" s="157" customFormat="1" ht="36">
      <c r="A148" s="106">
        <f t="shared" si="2"/>
        <v>128</v>
      </c>
      <c r="B148" s="235" t="s">
        <v>839</v>
      </c>
      <c r="C148" s="246"/>
      <c r="D148" s="241" t="s">
        <v>30</v>
      </c>
      <c r="E148" s="247">
        <v>1</v>
      </c>
      <c r="F148" s="33"/>
      <c r="G148" s="4"/>
      <c r="H148" s="4"/>
      <c r="I148" s="129"/>
      <c r="J148" s="4"/>
      <c r="K148" s="337"/>
      <c r="L148" s="338"/>
      <c r="M148" s="338"/>
      <c r="N148" s="338"/>
      <c r="O148" s="338"/>
      <c r="P148" s="339"/>
    </row>
    <row r="149" spans="1:27" s="157" customFormat="1" ht="60">
      <c r="A149" s="106">
        <f t="shared" si="2"/>
        <v>129</v>
      </c>
      <c r="B149" s="235" t="s">
        <v>795</v>
      </c>
      <c r="C149" s="246"/>
      <c r="D149" s="241" t="s">
        <v>30</v>
      </c>
      <c r="E149" s="247">
        <v>1</v>
      </c>
      <c r="F149" s="33"/>
      <c r="G149" s="4"/>
      <c r="H149" s="4"/>
      <c r="I149" s="129"/>
      <c r="J149" s="4"/>
      <c r="K149" s="337"/>
      <c r="L149" s="338"/>
      <c r="M149" s="338"/>
      <c r="N149" s="338"/>
      <c r="O149" s="338"/>
      <c r="P149" s="339"/>
    </row>
    <row r="150" spans="1:27" s="157" customFormat="1" ht="12.75">
      <c r="A150" s="106"/>
      <c r="B150" s="239" t="s">
        <v>840</v>
      </c>
      <c r="C150" s="246"/>
      <c r="D150" s="241"/>
      <c r="E150" s="242"/>
      <c r="F150" s="107"/>
      <c r="G150" s="108"/>
      <c r="H150" s="4"/>
      <c r="I150" s="4"/>
      <c r="J150" s="4"/>
      <c r="K150" s="108"/>
      <c r="L150" s="108"/>
      <c r="M150" s="108"/>
      <c r="N150" s="108"/>
      <c r="O150" s="108"/>
      <c r="P150" s="109"/>
    </row>
    <row r="151" spans="1:27" s="157" customFormat="1" ht="12.75">
      <c r="A151" s="106">
        <v>130</v>
      </c>
      <c r="B151" s="235" t="s">
        <v>786</v>
      </c>
      <c r="C151" s="246"/>
      <c r="D151" s="241" t="s">
        <v>1082</v>
      </c>
      <c r="E151" s="242">
        <v>9</v>
      </c>
      <c r="F151" s="107"/>
      <c r="G151" s="108"/>
      <c r="H151" s="108"/>
      <c r="I151" s="129"/>
      <c r="J151" s="4"/>
      <c r="K151" s="337"/>
      <c r="L151" s="338"/>
      <c r="M151" s="338"/>
      <c r="N151" s="338"/>
      <c r="O151" s="338"/>
      <c r="P151" s="339"/>
    </row>
    <row r="152" spans="1:27" s="157" customFormat="1" ht="24">
      <c r="A152" s="106">
        <f t="shared" si="2"/>
        <v>131</v>
      </c>
      <c r="B152" s="235" t="s">
        <v>787</v>
      </c>
      <c r="C152" s="246"/>
      <c r="D152" s="241" t="s">
        <v>1082</v>
      </c>
      <c r="E152" s="242">
        <v>1.1100000000000001</v>
      </c>
      <c r="F152" s="33"/>
      <c r="G152" s="33"/>
      <c r="H152" s="4"/>
      <c r="I152" s="4"/>
      <c r="J152" s="4"/>
      <c r="K152" s="337"/>
      <c r="L152" s="338"/>
      <c r="M152" s="338"/>
      <c r="N152" s="338"/>
      <c r="O152" s="338"/>
      <c r="P152" s="339"/>
    </row>
    <row r="153" spans="1:27" s="25" customFormat="1" ht="14.25">
      <c r="A153" s="106">
        <f t="shared" si="2"/>
        <v>132</v>
      </c>
      <c r="B153" s="121" t="s">
        <v>91</v>
      </c>
      <c r="C153" s="121"/>
      <c r="D153" s="13" t="s">
        <v>26</v>
      </c>
      <c r="E153" s="9">
        <f>ROUND(E152*100*1.05,2)</f>
        <v>116.55</v>
      </c>
      <c r="F153" s="36"/>
      <c r="G153" s="36"/>
      <c r="H153" s="4"/>
      <c r="I153" s="4"/>
      <c r="J153" s="4"/>
      <c r="K153" s="337"/>
      <c r="L153" s="338"/>
      <c r="M153" s="338"/>
      <c r="N153" s="338"/>
      <c r="O153" s="338"/>
      <c r="P153" s="339"/>
      <c r="T153" s="36"/>
    </row>
    <row r="154" spans="1:27" s="157" customFormat="1" ht="12.75">
      <c r="A154" s="106">
        <f t="shared" si="2"/>
        <v>133</v>
      </c>
      <c r="B154" s="49" t="s">
        <v>1098</v>
      </c>
      <c r="C154" s="246"/>
      <c r="D154" s="241" t="s">
        <v>14</v>
      </c>
      <c r="E154" s="242">
        <v>676</v>
      </c>
      <c r="F154" s="33"/>
      <c r="G154" s="318"/>
      <c r="H154" s="4"/>
      <c r="I154" s="4"/>
      <c r="J154" s="112"/>
      <c r="K154" s="337"/>
      <c r="L154" s="338"/>
      <c r="M154" s="338"/>
      <c r="N154" s="338"/>
      <c r="O154" s="338"/>
      <c r="P154" s="339"/>
    </row>
    <row r="155" spans="1:27" s="157" customFormat="1" ht="24">
      <c r="A155" s="106">
        <f t="shared" si="2"/>
        <v>134</v>
      </c>
      <c r="B155" s="235" t="s">
        <v>828</v>
      </c>
      <c r="C155" s="246"/>
      <c r="D155" s="241" t="s">
        <v>282</v>
      </c>
      <c r="E155" s="247">
        <v>14</v>
      </c>
      <c r="F155" s="33"/>
      <c r="G155" s="4"/>
      <c r="H155" s="4"/>
      <c r="I155" s="4"/>
      <c r="J155" s="4"/>
      <c r="K155" s="337"/>
      <c r="L155" s="338"/>
      <c r="M155" s="338"/>
      <c r="N155" s="338"/>
      <c r="O155" s="338"/>
      <c r="P155" s="339"/>
    </row>
    <row r="156" spans="1:27" s="157" customFormat="1" ht="24.75" thickBot="1">
      <c r="A156" s="106">
        <f t="shared" si="2"/>
        <v>135</v>
      </c>
      <c r="B156" s="235" t="s">
        <v>788</v>
      </c>
      <c r="C156" s="246"/>
      <c r="D156" s="241" t="s">
        <v>30</v>
      </c>
      <c r="E156" s="247">
        <v>1</v>
      </c>
      <c r="F156" s="107"/>
      <c r="G156" s="108"/>
      <c r="H156" s="108"/>
      <c r="I156" s="129"/>
      <c r="J156" s="4"/>
      <c r="K156" s="108"/>
      <c r="L156" s="108"/>
      <c r="M156" s="108"/>
      <c r="N156" s="108"/>
      <c r="O156" s="108"/>
      <c r="P156" s="109"/>
    </row>
    <row r="157" spans="1:27" s="102" customFormat="1" ht="15.75" thickTop="1" thickBot="1">
      <c r="A157" s="181"/>
      <c r="B157" s="400" t="s">
        <v>1587</v>
      </c>
      <c r="C157" s="401"/>
      <c r="D157" s="401"/>
      <c r="E157" s="401"/>
      <c r="F157" s="401"/>
      <c r="G157" s="401"/>
      <c r="H157" s="401"/>
      <c r="I157" s="401"/>
      <c r="J157" s="401"/>
      <c r="K157" s="402"/>
      <c r="L157" s="182"/>
      <c r="M157" s="182"/>
      <c r="N157" s="182"/>
      <c r="O157" s="182"/>
      <c r="P157" s="183"/>
      <c r="Q157" s="25"/>
      <c r="R157" s="25"/>
      <c r="S157" s="25"/>
      <c r="T157" s="25"/>
      <c r="U157" s="25"/>
      <c r="V157" s="25"/>
      <c r="W157" s="25"/>
      <c r="X157" s="25"/>
      <c r="Y157" s="25"/>
      <c r="Z157" s="25"/>
      <c r="AA157" s="25"/>
    </row>
    <row r="158" spans="1:27" s="102" customFormat="1" ht="15" thickTop="1">
      <c r="B158" s="200"/>
      <c r="C158" s="200"/>
      <c r="Q158" s="25"/>
      <c r="R158" s="25"/>
      <c r="S158" s="25"/>
      <c r="T158" s="25"/>
      <c r="U158" s="25"/>
      <c r="V158" s="25"/>
      <c r="W158" s="25"/>
      <c r="X158" s="25"/>
      <c r="Y158" s="25"/>
      <c r="Z158" s="25"/>
      <c r="AA158" s="25"/>
    </row>
    <row r="159" spans="1:27" s="102" customFormat="1" ht="14.25">
      <c r="B159" s="184"/>
      <c r="C159" s="184"/>
      <c r="Q159" s="25"/>
      <c r="R159" s="25"/>
      <c r="S159" s="25"/>
      <c r="T159" s="25"/>
      <c r="U159" s="25"/>
      <c r="V159" s="25"/>
      <c r="W159" s="25"/>
      <c r="X159" s="25"/>
      <c r="Y159" s="25"/>
      <c r="Z159" s="25"/>
      <c r="AA159" s="25"/>
    </row>
    <row r="160" spans="1:27" s="102" customFormat="1" ht="14.25">
      <c r="A160" s="117"/>
      <c r="B160" s="172" t="s">
        <v>209</v>
      </c>
      <c r="C160" s="172"/>
      <c r="D160" s="117"/>
      <c r="E160" s="117"/>
      <c r="F160" s="117"/>
      <c r="G160" s="117"/>
      <c r="H160" s="117"/>
      <c r="I160" s="117"/>
      <c r="Q160" s="25"/>
      <c r="R160" s="25"/>
      <c r="S160" s="25"/>
      <c r="T160" s="25"/>
      <c r="U160" s="25"/>
      <c r="V160" s="25"/>
      <c r="W160" s="25"/>
      <c r="X160" s="25"/>
      <c r="Y160" s="25"/>
      <c r="Z160" s="25"/>
      <c r="AA160" s="25"/>
    </row>
    <row r="161" spans="1:27" s="102" customFormat="1" ht="14.25">
      <c r="A161" s="117"/>
      <c r="B161" s="172"/>
      <c r="C161" s="172"/>
      <c r="D161" s="117"/>
      <c r="E161" s="117"/>
      <c r="F161" s="117"/>
      <c r="G161" s="117"/>
      <c r="H161" s="117"/>
      <c r="I161" s="117"/>
      <c r="Q161" s="25"/>
      <c r="R161" s="25"/>
      <c r="S161" s="25"/>
      <c r="T161" s="25"/>
      <c r="U161" s="25"/>
      <c r="V161" s="25"/>
      <c r="W161" s="25"/>
      <c r="X161" s="25"/>
      <c r="Y161" s="25"/>
      <c r="Z161" s="25"/>
      <c r="AA161" s="25"/>
    </row>
    <row r="162" spans="1:27" s="102" customFormat="1" ht="14.25">
      <c r="B162" s="92">
        <f ca="1">TODAY()</f>
        <v>43206</v>
      </c>
      <c r="C162" s="92"/>
      <c r="D162" s="144"/>
      <c r="Q162" s="25"/>
      <c r="R162" s="25"/>
      <c r="S162" s="25"/>
      <c r="T162" s="25"/>
      <c r="U162" s="25"/>
      <c r="V162" s="25"/>
      <c r="W162" s="25"/>
      <c r="X162" s="25"/>
      <c r="Y162" s="25"/>
      <c r="Z162" s="25"/>
      <c r="AA162" s="25"/>
    </row>
    <row r="163" spans="1:27" s="102" customFormat="1" ht="14.25">
      <c r="A163" s="248"/>
      <c r="B163" s="248"/>
      <c r="C163" s="248"/>
      <c r="D163" s="248"/>
      <c r="E163" s="248"/>
      <c r="F163" s="248"/>
      <c r="G163" s="248"/>
      <c r="H163" s="248"/>
      <c r="I163" s="248"/>
      <c r="J163" s="248"/>
      <c r="K163" s="248"/>
      <c r="L163" s="248"/>
      <c r="M163" s="248"/>
      <c r="N163" s="248"/>
      <c r="O163" s="248"/>
      <c r="P163" s="248"/>
      <c r="Q163" s="25"/>
      <c r="R163" s="25"/>
      <c r="S163" s="25"/>
      <c r="T163" s="25"/>
      <c r="U163" s="25"/>
      <c r="V163" s="25"/>
      <c r="W163" s="25"/>
      <c r="X163" s="25"/>
      <c r="Y163" s="25"/>
      <c r="Z163" s="25"/>
      <c r="AA163" s="25"/>
    </row>
    <row r="164" spans="1:27" s="102" customFormat="1" ht="14.25">
      <c r="A164" s="248"/>
      <c r="B164" s="248"/>
      <c r="C164" s="248"/>
      <c r="D164" s="248"/>
      <c r="E164" s="248"/>
      <c r="F164" s="248"/>
      <c r="G164" s="248"/>
      <c r="H164" s="248"/>
      <c r="I164" s="248"/>
      <c r="J164" s="248"/>
      <c r="K164" s="248"/>
      <c r="L164" s="248"/>
      <c r="M164" s="248"/>
      <c r="N164" s="248"/>
      <c r="O164" s="248"/>
      <c r="P164" s="248"/>
      <c r="Q164" s="25"/>
      <c r="R164" s="25"/>
      <c r="S164" s="25"/>
      <c r="T164" s="25"/>
      <c r="U164" s="25"/>
      <c r="V164" s="25"/>
      <c r="W164" s="25"/>
      <c r="X164" s="25"/>
      <c r="Y164" s="25"/>
      <c r="Z164" s="25"/>
      <c r="AA164" s="25"/>
    </row>
  </sheetData>
  <mergeCells count="34">
    <mergeCell ref="P8:P11"/>
    <mergeCell ref="K8:K11"/>
    <mergeCell ref="M8:M11"/>
    <mergeCell ref="P145:P147"/>
    <mergeCell ref="K145:K147"/>
    <mergeCell ref="L145:L147"/>
    <mergeCell ref="M145:M147"/>
    <mergeCell ref="N145:N147"/>
    <mergeCell ref="O145:O147"/>
    <mergeCell ref="C7:C11"/>
    <mergeCell ref="L8:L11"/>
    <mergeCell ref="B157:K157"/>
    <mergeCell ref="H8:H11"/>
    <mergeCell ref="N8:N11"/>
    <mergeCell ref="J8:J11"/>
    <mergeCell ref="F145:F147"/>
    <mergeCell ref="G145:G147"/>
    <mergeCell ref="H145:H147"/>
    <mergeCell ref="I145:I147"/>
    <mergeCell ref="J145:J147"/>
    <mergeCell ref="A1:P1"/>
    <mergeCell ref="A2:P2"/>
    <mergeCell ref="K6:N6"/>
    <mergeCell ref="O6:P6"/>
    <mergeCell ref="A7:A11"/>
    <mergeCell ref="B7:B11"/>
    <mergeCell ref="D7:D11"/>
    <mergeCell ref="E7:E11"/>
    <mergeCell ref="F7:K7"/>
    <mergeCell ref="L7:P7"/>
    <mergeCell ref="F8:F11"/>
    <mergeCell ref="G8:G11"/>
    <mergeCell ref="O8:O11"/>
    <mergeCell ref="I8:I11"/>
  </mergeCells>
  <printOptions horizontalCentered="1"/>
  <pageMargins left="0.31496062992125984" right="0.31496062992125984"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71"/>
  <sheetViews>
    <sheetView topLeftCell="A49" zoomScaleNormal="100" workbookViewId="0">
      <selection activeCell="L66" sqref="L66"/>
    </sheetView>
  </sheetViews>
  <sheetFormatPr defaultColWidth="9.140625" defaultRowHeight="12"/>
  <cols>
    <col min="1" max="1" width="5.5703125" style="220" customWidth="1"/>
    <col min="2" max="2" width="36.28515625" style="220" customWidth="1"/>
    <col min="3" max="3" width="8.85546875" style="220" customWidth="1"/>
    <col min="4" max="5" width="7.28515625" style="220" customWidth="1"/>
    <col min="6" max="11" width="8.140625" style="220" customWidth="1"/>
    <col min="12" max="15" width="9.140625" style="220" customWidth="1"/>
    <col min="16" max="16" width="11.140625" style="220" customWidth="1"/>
    <col min="17" max="17" width="9.28515625" style="220" customWidth="1"/>
    <col min="18" max="16384" width="9.140625" style="220"/>
  </cols>
  <sheetData>
    <row r="1" spans="1:16" s="27" customFormat="1" ht="14.25">
      <c r="A1" s="368" t="s">
        <v>283</v>
      </c>
      <c r="B1" s="368"/>
      <c r="C1" s="368"/>
      <c r="D1" s="368"/>
      <c r="E1" s="368"/>
      <c r="F1" s="368"/>
      <c r="G1" s="368"/>
      <c r="H1" s="368"/>
      <c r="I1" s="368"/>
      <c r="J1" s="368"/>
      <c r="K1" s="368"/>
      <c r="L1" s="368"/>
      <c r="M1" s="368"/>
      <c r="N1" s="368"/>
      <c r="O1" s="368"/>
      <c r="P1" s="368"/>
    </row>
    <row r="2" spans="1:16" s="27" customFormat="1" ht="14.25">
      <c r="A2" s="405" t="str">
        <f>Kopsavilkums!C38</f>
        <v>ELT</v>
      </c>
      <c r="B2" s="405"/>
      <c r="C2" s="405"/>
      <c r="D2" s="405"/>
      <c r="E2" s="405"/>
      <c r="F2" s="405"/>
      <c r="G2" s="405"/>
      <c r="H2" s="405"/>
      <c r="I2" s="405"/>
      <c r="J2" s="405"/>
      <c r="K2" s="405"/>
      <c r="L2" s="405"/>
      <c r="M2" s="405"/>
      <c r="N2" s="405"/>
      <c r="O2" s="405"/>
      <c r="P2" s="405"/>
    </row>
    <row r="3" spans="1:16" s="27" customFormat="1" ht="14.25">
      <c r="A3" s="115" t="s">
        <v>1246</v>
      </c>
      <c r="B3" s="119"/>
      <c r="C3" s="119"/>
      <c r="D3" s="119"/>
      <c r="E3" s="119"/>
      <c r="F3" s="119"/>
      <c r="G3" s="119"/>
      <c r="H3" s="119"/>
      <c r="I3" s="119"/>
      <c r="J3" s="119"/>
      <c r="K3" s="119"/>
      <c r="L3" s="119"/>
      <c r="M3" s="119"/>
      <c r="N3" s="119"/>
      <c r="O3" s="119"/>
      <c r="P3" s="119"/>
    </row>
    <row r="4" spans="1:16" s="27" customFormat="1" ht="14.25">
      <c r="A4" s="115" t="s">
        <v>307</v>
      </c>
      <c r="B4" s="119"/>
      <c r="C4" s="119"/>
      <c r="D4" s="119"/>
      <c r="E4" s="119"/>
      <c r="F4" s="119"/>
      <c r="G4" s="119"/>
      <c r="H4" s="119"/>
      <c r="I4" s="119"/>
      <c r="J4" s="119"/>
      <c r="K4" s="119"/>
      <c r="L4" s="119"/>
      <c r="M4" s="119"/>
      <c r="N4" s="119"/>
      <c r="O4" s="119"/>
      <c r="P4" s="119"/>
    </row>
    <row r="5" spans="1:16" s="27" customFormat="1" ht="14.25">
      <c r="A5" s="115" t="s">
        <v>306</v>
      </c>
      <c r="B5" s="119"/>
      <c r="C5" s="119"/>
      <c r="D5" s="119"/>
      <c r="E5" s="119"/>
      <c r="F5" s="119"/>
      <c r="G5" s="119"/>
      <c r="H5" s="119"/>
      <c r="I5" s="119"/>
      <c r="J5" s="119"/>
      <c r="K5" s="119"/>
      <c r="L5" s="119"/>
      <c r="M5" s="119"/>
      <c r="N5" s="119"/>
      <c r="O5" s="119"/>
      <c r="P5" s="119"/>
    </row>
    <row r="6" spans="1:16" s="15" customFormat="1" ht="13.5" thickBot="1">
      <c r="F6" s="28"/>
      <c r="G6" s="28"/>
      <c r="H6" s="28"/>
      <c r="I6" s="28"/>
      <c r="J6" s="28"/>
      <c r="K6" s="370" t="s">
        <v>13</v>
      </c>
      <c r="L6" s="370"/>
      <c r="M6" s="370"/>
      <c r="N6" s="370"/>
      <c r="O6" s="406" t="e">
        <f>#REF!</f>
        <v>#REF!</v>
      </c>
      <c r="P6" s="406"/>
    </row>
    <row r="7" spans="1:16" s="133" customFormat="1" ht="12.75">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25" customFormat="1" ht="15" thickTop="1">
      <c r="A13" s="106"/>
      <c r="B13" s="236" t="s">
        <v>1134</v>
      </c>
      <c r="C13" s="237"/>
      <c r="D13" s="13"/>
      <c r="E13" s="10"/>
      <c r="F13" s="33"/>
      <c r="G13" s="33"/>
      <c r="H13" s="4"/>
      <c r="I13" s="4"/>
      <c r="J13" s="4"/>
      <c r="K13" s="4"/>
      <c r="L13" s="4"/>
      <c r="M13" s="4"/>
      <c r="N13" s="4"/>
      <c r="O13" s="4"/>
      <c r="P13" s="20"/>
    </row>
    <row r="14" spans="1:16" s="25" customFormat="1" ht="33.75">
      <c r="A14" s="106">
        <f t="shared" ref="A14:A63" si="0">A13+1</f>
        <v>1</v>
      </c>
      <c r="B14" s="2" t="s">
        <v>742</v>
      </c>
      <c r="C14" s="214" t="s">
        <v>772</v>
      </c>
      <c r="D14" s="13" t="s">
        <v>29</v>
      </c>
      <c r="E14" s="215">
        <v>1</v>
      </c>
      <c r="F14" s="9"/>
      <c r="G14" s="33"/>
      <c r="H14" s="4"/>
      <c r="I14" s="4"/>
      <c r="J14" s="4"/>
      <c r="K14" s="337"/>
      <c r="L14" s="338"/>
      <c r="M14" s="338"/>
      <c r="N14" s="338"/>
      <c r="O14" s="338"/>
      <c r="P14" s="339"/>
    </row>
    <row r="15" spans="1:16" s="25" customFormat="1" ht="24">
      <c r="A15" s="106">
        <f t="shared" si="0"/>
        <v>2</v>
      </c>
      <c r="B15" s="2" t="s">
        <v>743</v>
      </c>
      <c r="C15" s="214" t="s">
        <v>773</v>
      </c>
      <c r="D15" s="13" t="s">
        <v>29</v>
      </c>
      <c r="E15" s="215">
        <v>1</v>
      </c>
      <c r="F15" s="9"/>
      <c r="G15" s="33"/>
      <c r="H15" s="4"/>
      <c r="I15" s="4"/>
      <c r="J15" s="4"/>
      <c r="K15" s="337"/>
      <c r="L15" s="338"/>
      <c r="M15" s="338"/>
      <c r="N15" s="338"/>
      <c r="O15" s="338"/>
      <c r="P15" s="339"/>
    </row>
    <row r="16" spans="1:16" s="25" customFormat="1" ht="14.25">
      <c r="A16" s="106">
        <f t="shared" si="0"/>
        <v>3</v>
      </c>
      <c r="B16" s="2" t="s">
        <v>744</v>
      </c>
      <c r="C16" s="214"/>
      <c r="D16" s="13" t="s">
        <v>29</v>
      </c>
      <c r="E16" s="215">
        <v>6</v>
      </c>
      <c r="F16" s="9"/>
      <c r="G16" s="33"/>
      <c r="H16" s="4"/>
      <c r="I16" s="129"/>
      <c r="J16" s="4"/>
      <c r="K16" s="337"/>
      <c r="L16" s="338"/>
      <c r="M16" s="338"/>
      <c r="N16" s="338"/>
      <c r="O16" s="338"/>
      <c r="P16" s="339"/>
    </row>
    <row r="17" spans="1:16" s="25" customFormat="1" ht="14.25">
      <c r="A17" s="106">
        <f t="shared" si="0"/>
        <v>4</v>
      </c>
      <c r="B17" s="2" t="s">
        <v>745</v>
      </c>
      <c r="C17" s="214"/>
      <c r="D17" s="13" t="s">
        <v>29</v>
      </c>
      <c r="E17" s="215">
        <v>3</v>
      </c>
      <c r="F17" s="9"/>
      <c r="G17" s="33"/>
      <c r="H17" s="4"/>
      <c r="I17" s="129"/>
      <c r="J17" s="4"/>
      <c r="K17" s="337"/>
      <c r="L17" s="338"/>
      <c r="M17" s="338"/>
      <c r="N17" s="338"/>
      <c r="O17" s="338"/>
      <c r="P17" s="339"/>
    </row>
    <row r="18" spans="1:16" s="25" customFormat="1" ht="22.5">
      <c r="A18" s="106">
        <f t="shared" si="0"/>
        <v>5</v>
      </c>
      <c r="B18" s="2" t="s">
        <v>746</v>
      </c>
      <c r="C18" s="214" t="s">
        <v>747</v>
      </c>
      <c r="D18" s="13" t="s">
        <v>42</v>
      </c>
      <c r="E18" s="14">
        <v>113</v>
      </c>
      <c r="F18" s="9"/>
      <c r="G18" s="33"/>
      <c r="H18" s="4"/>
      <c r="I18" s="129"/>
      <c r="J18" s="4"/>
      <c r="K18" s="337"/>
      <c r="L18" s="338"/>
      <c r="M18" s="338"/>
      <c r="N18" s="338"/>
      <c r="O18" s="338"/>
      <c r="P18" s="339"/>
    </row>
    <row r="19" spans="1:16" s="25" customFormat="1" ht="22.5">
      <c r="A19" s="106">
        <f t="shared" si="0"/>
        <v>6</v>
      </c>
      <c r="B19" s="2" t="s">
        <v>748</v>
      </c>
      <c r="C19" s="214" t="s">
        <v>749</v>
      </c>
      <c r="D19" s="13" t="s">
        <v>42</v>
      </c>
      <c r="E19" s="14">
        <v>30</v>
      </c>
      <c r="F19" s="9"/>
      <c r="G19" s="33"/>
      <c r="H19" s="4"/>
      <c r="I19" s="129"/>
      <c r="J19" s="4"/>
      <c r="K19" s="337"/>
      <c r="L19" s="338"/>
      <c r="M19" s="338"/>
      <c r="N19" s="338"/>
      <c r="O19" s="338"/>
      <c r="P19" s="339"/>
    </row>
    <row r="20" spans="1:16" s="25" customFormat="1" ht="24">
      <c r="A20" s="106">
        <f t="shared" si="0"/>
        <v>7</v>
      </c>
      <c r="B20" s="2" t="s">
        <v>1130</v>
      </c>
      <c r="C20" s="214"/>
      <c r="D20" s="13" t="s">
        <v>30</v>
      </c>
      <c r="E20" s="215">
        <v>4</v>
      </c>
      <c r="F20" s="9"/>
      <c r="G20" s="33"/>
      <c r="H20" s="4"/>
      <c r="I20" s="4"/>
      <c r="J20" s="4"/>
      <c r="K20" s="337"/>
      <c r="L20" s="338"/>
      <c r="M20" s="338"/>
      <c r="N20" s="338"/>
      <c r="O20" s="338"/>
      <c r="P20" s="339"/>
    </row>
    <row r="21" spans="1:16" s="25" customFormat="1" ht="24">
      <c r="A21" s="106">
        <f t="shared" si="0"/>
        <v>8</v>
      </c>
      <c r="B21" s="2" t="s">
        <v>1131</v>
      </c>
      <c r="C21" s="214"/>
      <c r="D21" s="13" t="s">
        <v>30</v>
      </c>
      <c r="E21" s="215">
        <v>2</v>
      </c>
      <c r="F21" s="9"/>
      <c r="G21" s="33"/>
      <c r="H21" s="4"/>
      <c r="I21" s="4"/>
      <c r="J21" s="4"/>
      <c r="K21" s="337"/>
      <c r="L21" s="338"/>
      <c r="M21" s="338"/>
      <c r="N21" s="338"/>
      <c r="O21" s="338"/>
      <c r="P21" s="339"/>
    </row>
    <row r="22" spans="1:16" s="25" customFormat="1" ht="14.25">
      <c r="A22" s="106">
        <f t="shared" si="0"/>
        <v>9</v>
      </c>
      <c r="B22" s="2" t="s">
        <v>750</v>
      </c>
      <c r="C22" s="214"/>
      <c r="D22" s="13" t="s">
        <v>42</v>
      </c>
      <c r="E22" s="14">
        <v>64</v>
      </c>
      <c r="F22" s="9"/>
      <c r="G22" s="33"/>
      <c r="H22" s="4"/>
      <c r="I22" s="129"/>
      <c r="J22" s="4"/>
      <c r="K22" s="337"/>
      <c r="L22" s="338"/>
      <c r="M22" s="338"/>
      <c r="N22" s="338"/>
      <c r="O22" s="338"/>
      <c r="P22" s="339"/>
    </row>
    <row r="23" spans="1:16" s="25" customFormat="1" ht="14.25">
      <c r="A23" s="106">
        <f t="shared" si="0"/>
        <v>10</v>
      </c>
      <c r="B23" s="2" t="s">
        <v>285</v>
      </c>
      <c r="C23" s="214"/>
      <c r="D23" s="13" t="s">
        <v>42</v>
      </c>
      <c r="E23" s="14">
        <v>118</v>
      </c>
      <c r="F23" s="9"/>
      <c r="G23" s="33"/>
      <c r="H23" s="4"/>
      <c r="I23" s="129"/>
      <c r="J23" s="4"/>
      <c r="K23" s="337"/>
      <c r="L23" s="338"/>
      <c r="M23" s="338"/>
      <c r="N23" s="338"/>
      <c r="O23" s="338"/>
      <c r="P23" s="339"/>
    </row>
    <row r="24" spans="1:16" s="25" customFormat="1" ht="24">
      <c r="A24" s="106">
        <f t="shared" si="0"/>
        <v>11</v>
      </c>
      <c r="B24" s="2" t="s">
        <v>751</v>
      </c>
      <c r="C24" s="214"/>
      <c r="D24" s="13" t="s">
        <v>42</v>
      </c>
      <c r="E24" s="14">
        <v>30</v>
      </c>
      <c r="F24" s="107"/>
      <c r="G24" s="33"/>
      <c r="H24" s="4"/>
      <c r="I24" s="129"/>
      <c r="J24" s="4"/>
      <c r="K24" s="337"/>
      <c r="L24" s="338"/>
      <c r="M24" s="338"/>
      <c r="N24" s="338"/>
      <c r="O24" s="338"/>
      <c r="P24" s="339"/>
    </row>
    <row r="25" spans="1:16" s="25" customFormat="1" ht="14.25">
      <c r="A25" s="106">
        <f t="shared" si="0"/>
        <v>12</v>
      </c>
      <c r="B25" s="2" t="s">
        <v>1127</v>
      </c>
      <c r="C25" s="214"/>
      <c r="D25" s="13" t="s">
        <v>42</v>
      </c>
      <c r="E25" s="14">
        <v>2</v>
      </c>
      <c r="F25" s="9"/>
      <c r="G25" s="33"/>
      <c r="H25" s="4"/>
      <c r="I25" s="129"/>
      <c r="J25" s="4"/>
      <c r="K25" s="337"/>
      <c r="L25" s="338"/>
      <c r="M25" s="338"/>
      <c r="N25" s="338"/>
      <c r="O25" s="338"/>
      <c r="P25" s="339"/>
    </row>
    <row r="26" spans="1:16" s="25" customFormat="1" ht="14.25">
      <c r="A26" s="106">
        <f t="shared" si="0"/>
        <v>13</v>
      </c>
      <c r="B26" s="2" t="s">
        <v>1128</v>
      </c>
      <c r="C26" s="214"/>
      <c r="D26" s="13" t="s">
        <v>29</v>
      </c>
      <c r="E26" s="215">
        <v>1</v>
      </c>
      <c r="F26" s="9"/>
      <c r="G26" s="33"/>
      <c r="H26" s="4"/>
      <c r="I26" s="129"/>
      <c r="J26" s="4"/>
      <c r="K26" s="337"/>
      <c r="L26" s="338"/>
      <c r="M26" s="338"/>
      <c r="N26" s="338"/>
      <c r="O26" s="338"/>
      <c r="P26" s="339"/>
    </row>
    <row r="27" spans="1:16" s="25" customFormat="1" ht="14.25">
      <c r="A27" s="106">
        <f t="shared" si="0"/>
        <v>14</v>
      </c>
      <c r="B27" s="2" t="s">
        <v>1129</v>
      </c>
      <c r="C27" s="214"/>
      <c r="D27" s="13" t="s">
        <v>29</v>
      </c>
      <c r="E27" s="215">
        <v>1</v>
      </c>
      <c r="F27" s="9"/>
      <c r="G27" s="33"/>
      <c r="H27" s="4"/>
      <c r="I27" s="129"/>
      <c r="J27" s="4"/>
      <c r="K27" s="337"/>
      <c r="L27" s="338"/>
      <c r="M27" s="338"/>
      <c r="N27" s="338"/>
      <c r="O27" s="338"/>
      <c r="P27" s="339"/>
    </row>
    <row r="28" spans="1:16" s="25" customFormat="1" ht="24">
      <c r="A28" s="106">
        <f t="shared" si="0"/>
        <v>15</v>
      </c>
      <c r="B28" s="2" t="s">
        <v>286</v>
      </c>
      <c r="C28" s="214"/>
      <c r="D28" s="13" t="s">
        <v>29</v>
      </c>
      <c r="E28" s="215">
        <v>3</v>
      </c>
      <c r="F28" s="9"/>
      <c r="G28" s="33"/>
      <c r="H28" s="4"/>
      <c r="I28" s="129"/>
      <c r="J28" s="4"/>
      <c r="K28" s="337"/>
      <c r="L28" s="338"/>
      <c r="M28" s="338"/>
      <c r="N28" s="338"/>
      <c r="O28" s="338"/>
      <c r="P28" s="339"/>
    </row>
    <row r="29" spans="1:16" s="25" customFormat="1" ht="14.25">
      <c r="A29" s="106">
        <f t="shared" si="0"/>
        <v>16</v>
      </c>
      <c r="B29" s="2" t="s">
        <v>287</v>
      </c>
      <c r="C29" s="214"/>
      <c r="D29" s="13" t="s">
        <v>42</v>
      </c>
      <c r="E29" s="14">
        <v>2</v>
      </c>
      <c r="F29" s="9"/>
      <c r="G29" s="33"/>
      <c r="H29" s="4"/>
      <c r="I29" s="129"/>
      <c r="J29" s="4"/>
      <c r="K29" s="337"/>
      <c r="L29" s="338"/>
      <c r="M29" s="338"/>
      <c r="N29" s="338"/>
      <c r="O29" s="338"/>
      <c r="P29" s="339"/>
    </row>
    <row r="30" spans="1:16" s="25" customFormat="1" ht="48">
      <c r="A30" s="106">
        <f t="shared" si="0"/>
        <v>17</v>
      </c>
      <c r="B30" s="2" t="s">
        <v>752</v>
      </c>
      <c r="C30" s="214"/>
      <c r="D30" s="13" t="s">
        <v>29</v>
      </c>
      <c r="E30" s="215">
        <v>1</v>
      </c>
      <c r="F30" s="9"/>
      <c r="G30" s="33"/>
      <c r="H30" s="4"/>
      <c r="I30" s="129"/>
      <c r="J30" s="4"/>
      <c r="K30" s="337"/>
      <c r="L30" s="338"/>
      <c r="M30" s="338"/>
      <c r="N30" s="338"/>
      <c r="O30" s="338"/>
      <c r="P30" s="339"/>
    </row>
    <row r="31" spans="1:16" s="25" customFormat="1" ht="14.25">
      <c r="A31" s="106">
        <f t="shared" si="0"/>
        <v>18</v>
      </c>
      <c r="B31" s="2" t="s">
        <v>288</v>
      </c>
      <c r="C31" s="214"/>
      <c r="D31" s="13" t="s">
        <v>29</v>
      </c>
      <c r="E31" s="215">
        <v>1</v>
      </c>
      <c r="F31" s="9"/>
      <c r="G31" s="33"/>
      <c r="H31" s="4"/>
      <c r="I31" s="129"/>
      <c r="J31" s="4"/>
      <c r="K31" s="337"/>
      <c r="L31" s="338"/>
      <c r="M31" s="338"/>
      <c r="N31" s="338"/>
      <c r="O31" s="338"/>
      <c r="P31" s="339"/>
    </row>
    <row r="32" spans="1:16" s="25" customFormat="1" ht="14.25">
      <c r="A32" s="106">
        <f t="shared" si="0"/>
        <v>19</v>
      </c>
      <c r="B32" s="2" t="s">
        <v>753</v>
      </c>
      <c r="C32" s="214"/>
      <c r="D32" s="13" t="s">
        <v>40</v>
      </c>
      <c r="E32" s="9">
        <v>40</v>
      </c>
      <c r="F32" s="9"/>
      <c r="G32" s="33"/>
      <c r="H32" s="4"/>
      <c r="I32" s="4"/>
      <c r="J32" s="4"/>
      <c r="K32" s="337"/>
      <c r="L32" s="338"/>
      <c r="M32" s="338"/>
      <c r="N32" s="338"/>
      <c r="O32" s="338"/>
      <c r="P32" s="339"/>
    </row>
    <row r="33" spans="1:16" s="25" customFormat="1" ht="14.25">
      <c r="A33" s="106"/>
      <c r="B33" s="236" t="s">
        <v>1243</v>
      </c>
      <c r="C33" s="237"/>
      <c r="D33" s="13"/>
      <c r="E33" s="10"/>
      <c r="F33" s="33"/>
      <c r="G33" s="33"/>
      <c r="H33" s="4"/>
      <c r="I33" s="4"/>
      <c r="J33" s="4"/>
      <c r="K33" s="4"/>
      <c r="L33" s="4"/>
      <c r="M33" s="4"/>
      <c r="N33" s="4"/>
      <c r="O33" s="4"/>
      <c r="P33" s="20"/>
    </row>
    <row r="34" spans="1:16" s="25" customFormat="1" ht="22.5">
      <c r="A34" s="106">
        <v>20</v>
      </c>
      <c r="B34" s="2" t="s">
        <v>754</v>
      </c>
      <c r="C34" s="214" t="s">
        <v>755</v>
      </c>
      <c r="D34" s="13" t="s">
        <v>42</v>
      </c>
      <c r="E34" s="14">
        <v>655</v>
      </c>
      <c r="F34" s="9"/>
      <c r="G34" s="33"/>
      <c r="H34" s="4"/>
      <c r="I34" s="4"/>
      <c r="J34" s="4"/>
      <c r="K34" s="337"/>
      <c r="L34" s="338"/>
      <c r="M34" s="338"/>
      <c r="N34" s="338"/>
      <c r="O34" s="338"/>
      <c r="P34" s="339"/>
    </row>
    <row r="35" spans="1:16" s="25" customFormat="1" ht="14.25">
      <c r="A35" s="106">
        <f t="shared" si="0"/>
        <v>21</v>
      </c>
      <c r="B35" s="2" t="s">
        <v>756</v>
      </c>
      <c r="C35" s="214" t="s">
        <v>757</v>
      </c>
      <c r="D35" s="13" t="s">
        <v>42</v>
      </c>
      <c r="E35" s="14">
        <v>50</v>
      </c>
      <c r="F35" s="9"/>
      <c r="G35" s="33"/>
      <c r="H35" s="4"/>
      <c r="I35" s="4"/>
      <c r="J35" s="4"/>
      <c r="K35" s="337"/>
      <c r="L35" s="338"/>
      <c r="M35" s="338"/>
      <c r="N35" s="338"/>
      <c r="O35" s="338"/>
      <c r="P35" s="339"/>
    </row>
    <row r="36" spans="1:16" s="25" customFormat="1" ht="22.5">
      <c r="A36" s="106">
        <f t="shared" si="0"/>
        <v>22</v>
      </c>
      <c r="B36" s="2" t="s">
        <v>758</v>
      </c>
      <c r="C36" s="214" t="s">
        <v>759</v>
      </c>
      <c r="D36" s="13" t="s">
        <v>42</v>
      </c>
      <c r="E36" s="14">
        <v>90</v>
      </c>
      <c r="F36" s="9"/>
      <c r="G36" s="33"/>
      <c r="H36" s="4"/>
      <c r="I36" s="4"/>
      <c r="J36" s="4"/>
      <c r="K36" s="337"/>
      <c r="L36" s="338"/>
      <c r="M36" s="338"/>
      <c r="N36" s="338"/>
      <c r="O36" s="338"/>
      <c r="P36" s="339"/>
    </row>
    <row r="37" spans="1:16" s="25" customFormat="1" ht="14.25">
      <c r="A37" s="106">
        <f t="shared" si="0"/>
        <v>23</v>
      </c>
      <c r="B37" s="2" t="s">
        <v>285</v>
      </c>
      <c r="C37" s="214"/>
      <c r="D37" s="13" t="s">
        <v>42</v>
      </c>
      <c r="E37" s="14">
        <v>600</v>
      </c>
      <c r="F37" s="9"/>
      <c r="G37" s="33"/>
      <c r="H37" s="4"/>
      <c r="I37" s="129"/>
      <c r="J37" s="4"/>
      <c r="K37" s="337"/>
      <c r="L37" s="338"/>
      <c r="M37" s="338"/>
      <c r="N37" s="338"/>
      <c r="O37" s="338"/>
      <c r="P37" s="339"/>
    </row>
    <row r="38" spans="1:16" s="25" customFormat="1" ht="24">
      <c r="A38" s="106">
        <f t="shared" si="0"/>
        <v>24</v>
      </c>
      <c r="B38" s="2" t="s">
        <v>751</v>
      </c>
      <c r="C38" s="214"/>
      <c r="D38" s="13" t="s">
        <v>42</v>
      </c>
      <c r="E38" s="14">
        <v>148</v>
      </c>
      <c r="F38" s="107"/>
      <c r="G38" s="33"/>
      <c r="H38" s="4"/>
      <c r="I38" s="129"/>
      <c r="J38" s="4"/>
      <c r="K38" s="337"/>
      <c r="L38" s="338"/>
      <c r="M38" s="338"/>
      <c r="N38" s="338"/>
      <c r="O38" s="338"/>
      <c r="P38" s="339"/>
    </row>
    <row r="39" spans="1:16" s="25" customFormat="1" ht="14.25">
      <c r="A39" s="106"/>
      <c r="B39" s="236" t="s">
        <v>1244</v>
      </c>
      <c r="C39" s="237"/>
      <c r="D39" s="13"/>
      <c r="E39" s="10"/>
      <c r="F39" s="33"/>
      <c r="G39" s="33"/>
      <c r="H39" s="4"/>
      <c r="I39" s="4"/>
      <c r="J39" s="4"/>
      <c r="K39" s="4"/>
      <c r="L39" s="4"/>
      <c r="M39" s="4"/>
      <c r="N39" s="4"/>
      <c r="O39" s="4"/>
      <c r="P39" s="20"/>
    </row>
    <row r="40" spans="1:16" s="25" customFormat="1" ht="33.75">
      <c r="A40" s="106">
        <v>25</v>
      </c>
      <c r="B40" s="2" t="s">
        <v>760</v>
      </c>
      <c r="C40" s="214" t="s">
        <v>774</v>
      </c>
      <c r="D40" s="13" t="s">
        <v>29</v>
      </c>
      <c r="E40" s="215">
        <v>2</v>
      </c>
      <c r="F40" s="9"/>
      <c r="G40" s="33"/>
      <c r="H40" s="4"/>
      <c r="I40" s="4"/>
      <c r="J40" s="4"/>
      <c r="K40" s="337"/>
      <c r="L40" s="338"/>
      <c r="M40" s="338"/>
      <c r="N40" s="338"/>
      <c r="O40" s="338"/>
      <c r="P40" s="339"/>
    </row>
    <row r="41" spans="1:16" s="25" customFormat="1" ht="22.5">
      <c r="A41" s="106">
        <f t="shared" si="0"/>
        <v>26</v>
      </c>
      <c r="B41" s="2" t="s">
        <v>762</v>
      </c>
      <c r="C41" s="214" t="s">
        <v>775</v>
      </c>
      <c r="D41" s="13" t="s">
        <v>29</v>
      </c>
      <c r="E41" s="215">
        <v>2</v>
      </c>
      <c r="F41" s="9"/>
      <c r="G41" s="33"/>
      <c r="H41" s="4"/>
      <c r="I41" s="4"/>
      <c r="J41" s="4"/>
      <c r="K41" s="337"/>
      <c r="L41" s="338"/>
      <c r="M41" s="338"/>
      <c r="N41" s="338"/>
      <c r="O41" s="338"/>
      <c r="P41" s="339"/>
    </row>
    <row r="42" spans="1:16" s="25" customFormat="1" ht="22.5">
      <c r="A42" s="106">
        <f t="shared" si="0"/>
        <v>27</v>
      </c>
      <c r="B42" s="2" t="s">
        <v>763</v>
      </c>
      <c r="C42" s="214" t="s">
        <v>776</v>
      </c>
      <c r="D42" s="13" t="s">
        <v>29</v>
      </c>
      <c r="E42" s="215">
        <v>2</v>
      </c>
      <c r="F42" s="9"/>
      <c r="G42" s="33"/>
      <c r="H42" s="4"/>
      <c r="I42" s="4"/>
      <c r="J42" s="4"/>
      <c r="K42" s="337"/>
      <c r="L42" s="338"/>
      <c r="M42" s="338"/>
      <c r="N42" s="338"/>
      <c r="O42" s="338"/>
      <c r="P42" s="339"/>
    </row>
    <row r="43" spans="1:16" s="25" customFormat="1" ht="14.25">
      <c r="A43" s="106">
        <f t="shared" si="0"/>
        <v>28</v>
      </c>
      <c r="B43" s="2" t="s">
        <v>764</v>
      </c>
      <c r="C43" s="214"/>
      <c r="D43" s="13" t="s">
        <v>29</v>
      </c>
      <c r="E43" s="215">
        <v>2</v>
      </c>
      <c r="F43" s="9"/>
      <c r="G43" s="33"/>
      <c r="H43" s="4"/>
      <c r="I43" s="4"/>
      <c r="J43" s="4"/>
      <c r="K43" s="337"/>
      <c r="L43" s="338"/>
      <c r="M43" s="338"/>
      <c r="N43" s="338"/>
      <c r="O43" s="338"/>
      <c r="P43" s="339"/>
    </row>
    <row r="44" spans="1:16" s="25" customFormat="1" ht="33.75">
      <c r="A44" s="106">
        <f t="shared" si="0"/>
        <v>29</v>
      </c>
      <c r="B44" s="2" t="s">
        <v>648</v>
      </c>
      <c r="C44" s="214" t="s">
        <v>777</v>
      </c>
      <c r="D44" s="13" t="s">
        <v>29</v>
      </c>
      <c r="E44" s="215">
        <v>6</v>
      </c>
      <c r="F44" s="107"/>
      <c r="G44" s="33"/>
      <c r="H44" s="4"/>
      <c r="I44" s="4"/>
      <c r="J44" s="4"/>
      <c r="K44" s="337"/>
      <c r="L44" s="338"/>
      <c r="M44" s="338"/>
      <c r="N44" s="338"/>
      <c r="O44" s="338"/>
      <c r="P44" s="339"/>
    </row>
    <row r="45" spans="1:16" s="25" customFormat="1" ht="33.75">
      <c r="A45" s="106">
        <f t="shared" si="0"/>
        <v>30</v>
      </c>
      <c r="B45" s="2" t="s">
        <v>587</v>
      </c>
      <c r="C45" s="214" t="s">
        <v>778</v>
      </c>
      <c r="D45" s="13" t="s">
        <v>29</v>
      </c>
      <c r="E45" s="215">
        <v>6</v>
      </c>
      <c r="F45" s="9"/>
      <c r="G45" s="33"/>
      <c r="H45" s="4"/>
      <c r="I45" s="4"/>
      <c r="J45" s="4"/>
      <c r="K45" s="337"/>
      <c r="L45" s="338"/>
      <c r="M45" s="338"/>
      <c r="N45" s="338"/>
      <c r="O45" s="338"/>
      <c r="P45" s="339"/>
    </row>
    <row r="46" spans="1:16" s="25" customFormat="1" ht="22.5">
      <c r="A46" s="106">
        <f t="shared" si="0"/>
        <v>31</v>
      </c>
      <c r="B46" s="2" t="s">
        <v>754</v>
      </c>
      <c r="C46" s="214" t="s">
        <v>755</v>
      </c>
      <c r="D46" s="13" t="s">
        <v>42</v>
      </c>
      <c r="E46" s="14">
        <v>230</v>
      </c>
      <c r="F46" s="9"/>
      <c r="G46" s="33"/>
      <c r="H46" s="4"/>
      <c r="I46" s="4"/>
      <c r="J46" s="4"/>
      <c r="K46" s="337"/>
      <c r="L46" s="338"/>
      <c r="M46" s="338"/>
      <c r="N46" s="338"/>
      <c r="O46" s="338"/>
      <c r="P46" s="339"/>
    </row>
    <row r="47" spans="1:16" s="25" customFormat="1" ht="22.5">
      <c r="A47" s="106">
        <f t="shared" si="0"/>
        <v>32</v>
      </c>
      <c r="B47" s="2" t="s">
        <v>765</v>
      </c>
      <c r="C47" s="214" t="s">
        <v>766</v>
      </c>
      <c r="D47" s="13" t="s">
        <v>42</v>
      </c>
      <c r="E47" s="14">
        <v>65</v>
      </c>
      <c r="F47" s="9"/>
      <c r="G47" s="33"/>
      <c r="H47" s="4"/>
      <c r="I47" s="4"/>
      <c r="J47" s="4"/>
      <c r="K47" s="337"/>
      <c r="L47" s="338"/>
      <c r="M47" s="338"/>
      <c r="N47" s="338"/>
      <c r="O47" s="338"/>
      <c r="P47" s="339"/>
    </row>
    <row r="48" spans="1:16" s="25" customFormat="1" ht="14.25">
      <c r="A48" s="106">
        <f t="shared" si="0"/>
        <v>33</v>
      </c>
      <c r="B48" s="2" t="s">
        <v>767</v>
      </c>
      <c r="C48" s="214"/>
      <c r="D48" s="13" t="s">
        <v>42</v>
      </c>
      <c r="E48" s="14">
        <v>200</v>
      </c>
      <c r="F48" s="107"/>
      <c r="G48" s="33"/>
      <c r="H48" s="4"/>
      <c r="I48" s="129"/>
      <c r="J48" s="4"/>
      <c r="K48" s="337"/>
      <c r="L48" s="338"/>
      <c r="M48" s="338"/>
      <c r="N48" s="338"/>
      <c r="O48" s="338"/>
      <c r="P48" s="339"/>
    </row>
    <row r="49" spans="1:20" s="25" customFormat="1" ht="24">
      <c r="A49" s="106">
        <f t="shared" si="0"/>
        <v>34</v>
      </c>
      <c r="B49" s="2" t="s">
        <v>751</v>
      </c>
      <c r="C49" s="214"/>
      <c r="D49" s="13" t="s">
        <v>42</v>
      </c>
      <c r="E49" s="14">
        <v>30</v>
      </c>
      <c r="F49" s="107"/>
      <c r="G49" s="33"/>
      <c r="H49" s="4"/>
      <c r="I49" s="129"/>
      <c r="J49" s="4"/>
      <c r="K49" s="337"/>
      <c r="L49" s="338"/>
      <c r="M49" s="338"/>
      <c r="N49" s="338"/>
      <c r="O49" s="338"/>
      <c r="P49" s="339"/>
    </row>
    <row r="50" spans="1:20" s="25" customFormat="1" ht="14.25">
      <c r="A50" s="106">
        <f t="shared" si="0"/>
        <v>35</v>
      </c>
      <c r="B50" s="2" t="s">
        <v>285</v>
      </c>
      <c r="C50" s="214"/>
      <c r="D50" s="13" t="s">
        <v>42</v>
      </c>
      <c r="E50" s="14">
        <v>200</v>
      </c>
      <c r="F50" s="9"/>
      <c r="G50" s="33"/>
      <c r="H50" s="4"/>
      <c r="I50" s="129"/>
      <c r="J50" s="4"/>
      <c r="K50" s="337"/>
      <c r="L50" s="338"/>
      <c r="M50" s="338"/>
      <c r="N50" s="338"/>
      <c r="O50" s="338"/>
      <c r="P50" s="339"/>
    </row>
    <row r="51" spans="1:20" s="25" customFormat="1" ht="14.25">
      <c r="A51" s="106"/>
      <c r="B51" s="236" t="s">
        <v>1245</v>
      </c>
      <c r="C51" s="237"/>
      <c r="D51" s="13"/>
      <c r="E51" s="10"/>
      <c r="F51" s="33"/>
      <c r="G51" s="33"/>
      <c r="H51" s="4"/>
      <c r="I51" s="4"/>
      <c r="J51" s="4"/>
      <c r="K51" s="4"/>
      <c r="L51" s="4"/>
      <c r="M51" s="4"/>
      <c r="N51" s="4"/>
      <c r="O51" s="4"/>
      <c r="P51" s="20"/>
    </row>
    <row r="52" spans="1:20" s="25" customFormat="1" ht="24">
      <c r="A52" s="106">
        <v>36</v>
      </c>
      <c r="B52" s="2" t="s">
        <v>768</v>
      </c>
      <c r="C52" s="214" t="s">
        <v>779</v>
      </c>
      <c r="D52" s="13" t="s">
        <v>29</v>
      </c>
      <c r="E52" s="215">
        <v>16</v>
      </c>
      <c r="F52" s="9"/>
      <c r="G52" s="33"/>
      <c r="H52" s="4"/>
      <c r="I52" s="4"/>
      <c r="J52" s="4"/>
      <c r="K52" s="337"/>
      <c r="L52" s="338"/>
      <c r="M52" s="338"/>
      <c r="N52" s="338"/>
      <c r="O52" s="338"/>
      <c r="P52" s="339"/>
    </row>
    <row r="53" spans="1:20" s="25" customFormat="1" ht="22.5">
      <c r="A53" s="106">
        <f t="shared" si="0"/>
        <v>37</v>
      </c>
      <c r="B53" s="2" t="s">
        <v>762</v>
      </c>
      <c r="C53" s="214" t="s">
        <v>775</v>
      </c>
      <c r="D53" s="13" t="s">
        <v>29</v>
      </c>
      <c r="E53" s="215">
        <v>16</v>
      </c>
      <c r="F53" s="9"/>
      <c r="G53" s="33"/>
      <c r="H53" s="4"/>
      <c r="I53" s="4"/>
      <c r="J53" s="4"/>
      <c r="K53" s="337"/>
      <c r="L53" s="338"/>
      <c r="M53" s="338"/>
      <c r="N53" s="338"/>
      <c r="O53" s="338"/>
      <c r="P53" s="339"/>
    </row>
    <row r="54" spans="1:20" s="25" customFormat="1" ht="22.5">
      <c r="A54" s="106">
        <f t="shared" si="0"/>
        <v>38</v>
      </c>
      <c r="B54" s="2" t="s">
        <v>763</v>
      </c>
      <c r="C54" s="214" t="s">
        <v>776</v>
      </c>
      <c r="D54" s="13" t="s">
        <v>29</v>
      </c>
      <c r="E54" s="215">
        <v>16</v>
      </c>
      <c r="F54" s="9"/>
      <c r="G54" s="33"/>
      <c r="H54" s="4"/>
      <c r="I54" s="4"/>
      <c r="J54" s="4"/>
      <c r="K54" s="337"/>
      <c r="L54" s="338"/>
      <c r="M54" s="338"/>
      <c r="N54" s="338"/>
      <c r="O54" s="338"/>
      <c r="P54" s="339"/>
    </row>
    <row r="55" spans="1:20" s="25" customFormat="1" ht="24">
      <c r="A55" s="106">
        <f t="shared" si="0"/>
        <v>39</v>
      </c>
      <c r="B55" s="2" t="s">
        <v>769</v>
      </c>
      <c r="C55" s="214" t="s">
        <v>761</v>
      </c>
      <c r="D55" s="13" t="s">
        <v>29</v>
      </c>
      <c r="E55" s="215">
        <v>16</v>
      </c>
      <c r="F55" s="9"/>
      <c r="G55" s="33"/>
      <c r="H55" s="4"/>
      <c r="I55" s="4"/>
      <c r="J55" s="4"/>
      <c r="K55" s="337"/>
      <c r="L55" s="338"/>
      <c r="M55" s="338"/>
      <c r="N55" s="338"/>
      <c r="O55" s="338"/>
      <c r="P55" s="339"/>
    </row>
    <row r="56" spans="1:20" s="25" customFormat="1" ht="22.5">
      <c r="A56" s="106">
        <f t="shared" si="0"/>
        <v>40</v>
      </c>
      <c r="B56" s="2" t="s">
        <v>770</v>
      </c>
      <c r="C56" s="214" t="s">
        <v>780</v>
      </c>
      <c r="D56" s="13" t="s">
        <v>29</v>
      </c>
      <c r="E56" s="215">
        <v>16</v>
      </c>
      <c r="F56" s="107"/>
      <c r="G56" s="33"/>
      <c r="H56" s="4"/>
      <c r="I56" s="4"/>
      <c r="J56" s="4"/>
      <c r="K56" s="337"/>
      <c r="L56" s="338"/>
      <c r="M56" s="338"/>
      <c r="N56" s="338"/>
      <c r="O56" s="338"/>
      <c r="P56" s="339"/>
    </row>
    <row r="57" spans="1:20" s="25" customFormat="1" ht="33.75">
      <c r="A57" s="106">
        <f t="shared" si="0"/>
        <v>41</v>
      </c>
      <c r="B57" s="2" t="s">
        <v>597</v>
      </c>
      <c r="C57" s="214" t="s">
        <v>781</v>
      </c>
      <c r="D57" s="13" t="s">
        <v>29</v>
      </c>
      <c r="E57" s="215">
        <v>16</v>
      </c>
      <c r="F57" s="9"/>
      <c r="G57" s="33"/>
      <c r="H57" s="4"/>
      <c r="I57" s="4"/>
      <c r="J57" s="4"/>
      <c r="K57" s="337"/>
      <c r="L57" s="338"/>
      <c r="M57" s="338"/>
      <c r="N57" s="338"/>
      <c r="O57" s="338"/>
      <c r="P57" s="339"/>
    </row>
    <row r="58" spans="1:20" s="25" customFormat="1" ht="22.5">
      <c r="A58" s="106">
        <f t="shared" si="0"/>
        <v>42</v>
      </c>
      <c r="B58" s="2" t="s">
        <v>748</v>
      </c>
      <c r="C58" s="214" t="s">
        <v>749</v>
      </c>
      <c r="D58" s="13" t="s">
        <v>42</v>
      </c>
      <c r="E58" s="14">
        <v>594</v>
      </c>
      <c r="F58" s="9"/>
      <c r="G58" s="33"/>
      <c r="H58" s="4"/>
      <c r="I58" s="4"/>
      <c r="J58" s="4"/>
      <c r="K58" s="337"/>
      <c r="L58" s="338"/>
      <c r="M58" s="338"/>
      <c r="N58" s="338"/>
      <c r="O58" s="338"/>
      <c r="P58" s="339"/>
    </row>
    <row r="59" spans="1:20" s="25" customFormat="1" ht="22.5">
      <c r="A59" s="106">
        <f t="shared" si="0"/>
        <v>43</v>
      </c>
      <c r="B59" s="2" t="s">
        <v>765</v>
      </c>
      <c r="C59" s="214" t="s">
        <v>766</v>
      </c>
      <c r="D59" s="13" t="s">
        <v>42</v>
      </c>
      <c r="E59" s="14">
        <v>160</v>
      </c>
      <c r="F59" s="9"/>
      <c r="G59" s="33"/>
      <c r="H59" s="4"/>
      <c r="I59" s="4"/>
      <c r="J59" s="4"/>
      <c r="K59" s="337"/>
      <c r="L59" s="338"/>
      <c r="M59" s="338"/>
      <c r="N59" s="338"/>
      <c r="O59" s="338"/>
      <c r="P59" s="339"/>
    </row>
    <row r="60" spans="1:20" s="25" customFormat="1" ht="14.25">
      <c r="A60" s="106">
        <f t="shared" si="0"/>
        <v>44</v>
      </c>
      <c r="B60" s="2" t="s">
        <v>771</v>
      </c>
      <c r="C60" s="214"/>
      <c r="D60" s="13" t="s">
        <v>42</v>
      </c>
      <c r="E60" s="14">
        <v>485</v>
      </c>
      <c r="F60" s="107"/>
      <c r="G60" s="33"/>
      <c r="H60" s="4"/>
      <c r="I60" s="129"/>
      <c r="J60" s="4"/>
      <c r="K60" s="337"/>
      <c r="L60" s="338"/>
      <c r="M60" s="338"/>
      <c r="N60" s="338"/>
      <c r="O60" s="338"/>
      <c r="P60" s="339"/>
    </row>
    <row r="61" spans="1:20" s="25" customFormat="1" ht="24">
      <c r="A61" s="106">
        <f t="shared" si="0"/>
        <v>45</v>
      </c>
      <c r="B61" s="2" t="s">
        <v>751</v>
      </c>
      <c r="C61" s="214"/>
      <c r="D61" s="13" t="s">
        <v>42</v>
      </c>
      <c r="E61" s="14">
        <v>30</v>
      </c>
      <c r="F61" s="107"/>
      <c r="G61" s="33"/>
      <c r="H61" s="4"/>
      <c r="I61" s="129"/>
      <c r="J61" s="4"/>
      <c r="K61" s="337"/>
      <c r="L61" s="338"/>
      <c r="M61" s="338"/>
      <c r="N61" s="338"/>
      <c r="O61" s="338"/>
      <c r="P61" s="339"/>
    </row>
    <row r="62" spans="1:20" s="25" customFormat="1" ht="14.25">
      <c r="A62" s="106">
        <f t="shared" si="0"/>
        <v>46</v>
      </c>
      <c r="B62" s="2" t="s">
        <v>285</v>
      </c>
      <c r="C62" s="214"/>
      <c r="D62" s="13" t="s">
        <v>42</v>
      </c>
      <c r="E62" s="14">
        <v>485</v>
      </c>
      <c r="F62" s="9"/>
      <c r="G62" s="33"/>
      <c r="H62" s="4"/>
      <c r="I62" s="129"/>
      <c r="J62" s="4"/>
      <c r="K62" s="337"/>
      <c r="L62" s="338"/>
      <c r="M62" s="338"/>
      <c r="N62" s="338"/>
      <c r="O62" s="338"/>
      <c r="P62" s="339"/>
    </row>
    <row r="63" spans="1:20" s="25" customFormat="1" ht="15" thickBot="1">
      <c r="A63" s="106">
        <f t="shared" si="0"/>
        <v>47</v>
      </c>
      <c r="B63" s="2" t="s">
        <v>1132</v>
      </c>
      <c r="C63" s="214"/>
      <c r="D63" s="13" t="s">
        <v>30</v>
      </c>
      <c r="E63" s="215">
        <v>16</v>
      </c>
      <c r="F63" s="9"/>
      <c r="G63" s="33"/>
      <c r="H63" s="4"/>
      <c r="I63" s="320"/>
      <c r="J63" s="4"/>
      <c r="K63" s="337"/>
      <c r="L63" s="338"/>
      <c r="M63" s="338"/>
      <c r="N63" s="338"/>
      <c r="O63" s="338"/>
      <c r="P63" s="339"/>
    </row>
    <row r="64" spans="1:20" s="102" customFormat="1" ht="15.75" thickTop="1" thickBot="1">
      <c r="A64" s="181"/>
      <c r="B64" s="400" t="s">
        <v>1587</v>
      </c>
      <c r="C64" s="401"/>
      <c r="D64" s="401"/>
      <c r="E64" s="401"/>
      <c r="F64" s="401"/>
      <c r="G64" s="401"/>
      <c r="H64" s="401"/>
      <c r="I64" s="401"/>
      <c r="J64" s="401"/>
      <c r="K64" s="402"/>
      <c r="L64" s="182"/>
      <c r="M64" s="182"/>
      <c r="N64" s="182"/>
      <c r="O64" s="182"/>
      <c r="P64" s="183"/>
      <c r="Q64" s="25"/>
      <c r="R64" s="25"/>
      <c r="S64" s="25"/>
      <c r="T64" s="25"/>
    </row>
    <row r="65" spans="1:20" s="102" customFormat="1" ht="15" thickTop="1">
      <c r="A65" s="27"/>
      <c r="B65" s="3"/>
      <c r="C65" s="3"/>
      <c r="D65" s="27"/>
      <c r="E65" s="27"/>
      <c r="F65" s="27"/>
      <c r="G65" s="27"/>
      <c r="H65" s="27"/>
      <c r="I65" s="27"/>
      <c r="J65" s="27"/>
      <c r="K65" s="27"/>
      <c r="L65" s="27"/>
      <c r="M65" s="27"/>
      <c r="N65" s="27"/>
      <c r="O65" s="27"/>
      <c r="P65" s="27"/>
      <c r="Q65" s="25"/>
      <c r="R65" s="25"/>
      <c r="S65" s="25"/>
      <c r="T65" s="25"/>
    </row>
    <row r="66" spans="1:20" s="102" customFormat="1" ht="14.25">
      <c r="A66" s="27"/>
      <c r="B66" s="331"/>
      <c r="C66" s="65"/>
      <c r="D66" s="27"/>
      <c r="E66" s="27"/>
      <c r="F66" s="27"/>
      <c r="G66" s="27"/>
      <c r="H66" s="27"/>
      <c r="I66" s="27"/>
      <c r="J66" s="27"/>
      <c r="K66" s="27"/>
      <c r="L66" s="27"/>
      <c r="M66" s="27"/>
      <c r="N66" s="27"/>
      <c r="O66" s="27"/>
      <c r="P66" s="27"/>
      <c r="Q66" s="25"/>
      <c r="R66" s="25"/>
      <c r="S66" s="25"/>
      <c r="T66" s="25"/>
    </row>
    <row r="67" spans="1:20" s="27" customFormat="1" ht="14.25">
      <c r="A67" s="117"/>
      <c r="B67" s="172" t="s">
        <v>209</v>
      </c>
      <c r="C67" s="172"/>
      <c r="D67" s="117"/>
      <c r="E67" s="117"/>
      <c r="F67" s="117"/>
      <c r="G67" s="117"/>
      <c r="H67" s="117"/>
      <c r="I67" s="117"/>
      <c r="J67" s="102"/>
      <c r="K67" s="102"/>
      <c r="L67" s="102"/>
      <c r="M67" s="102"/>
      <c r="N67" s="102"/>
      <c r="O67" s="102"/>
      <c r="P67" s="102"/>
      <c r="Q67" s="26"/>
      <c r="R67" s="26"/>
      <c r="S67" s="26"/>
      <c r="T67" s="26"/>
    </row>
    <row r="68" spans="1:20" s="27" customFormat="1" ht="14.25">
      <c r="A68" s="117"/>
      <c r="B68" s="172"/>
      <c r="C68" s="172"/>
      <c r="D68" s="117"/>
      <c r="E68" s="117"/>
      <c r="F68" s="117"/>
      <c r="G68" s="117"/>
      <c r="H68" s="117"/>
      <c r="I68" s="117"/>
      <c r="J68" s="102"/>
      <c r="K68" s="102"/>
      <c r="L68" s="102"/>
      <c r="M68" s="102"/>
      <c r="N68" s="102"/>
      <c r="O68" s="102"/>
      <c r="P68" s="102"/>
      <c r="Q68" s="26"/>
      <c r="R68" s="26"/>
      <c r="S68" s="26"/>
      <c r="T68" s="26"/>
    </row>
    <row r="69" spans="1:20" s="102" customFormat="1" ht="14.25">
      <c r="A69" s="27"/>
      <c r="B69" s="92">
        <f ca="1">TODAY()</f>
        <v>43206</v>
      </c>
      <c r="C69" s="92"/>
      <c r="D69" s="144"/>
      <c r="E69" s="27"/>
      <c r="F69" s="27"/>
      <c r="G69" s="27"/>
      <c r="H69" s="27"/>
      <c r="I69" s="27"/>
      <c r="J69" s="27"/>
      <c r="K69" s="27"/>
      <c r="L69" s="27"/>
      <c r="M69" s="27"/>
      <c r="N69" s="27"/>
      <c r="O69" s="27"/>
      <c r="P69" s="27"/>
      <c r="Q69" s="25"/>
      <c r="R69" s="25"/>
      <c r="S69" s="25"/>
      <c r="T69" s="25"/>
    </row>
    <row r="70" spans="1:20" s="102" customFormat="1" ht="14.25">
      <c r="A70" s="220"/>
      <c r="B70" s="220"/>
      <c r="C70" s="220"/>
      <c r="D70" s="220"/>
      <c r="E70" s="220"/>
      <c r="F70" s="220"/>
      <c r="G70" s="220"/>
      <c r="H70" s="220"/>
      <c r="I70" s="220"/>
      <c r="J70" s="220"/>
      <c r="K70" s="220"/>
      <c r="L70" s="220"/>
      <c r="M70" s="220"/>
      <c r="N70" s="220"/>
      <c r="O70" s="220"/>
      <c r="P70" s="220"/>
      <c r="Q70" s="25"/>
      <c r="R70" s="25"/>
      <c r="S70" s="25"/>
      <c r="T70" s="25"/>
    </row>
    <row r="71" spans="1:20" s="27" customFormat="1" ht="14.25">
      <c r="A71" s="220"/>
      <c r="B71" s="220"/>
      <c r="C71" s="220"/>
      <c r="D71" s="220"/>
      <c r="E71" s="220"/>
      <c r="F71" s="220"/>
      <c r="G71" s="220"/>
      <c r="H71" s="220"/>
      <c r="I71" s="220"/>
      <c r="J71" s="220"/>
      <c r="K71" s="220"/>
      <c r="L71" s="220"/>
      <c r="M71" s="220"/>
      <c r="N71" s="220"/>
      <c r="O71" s="220"/>
      <c r="P71" s="220"/>
      <c r="Q71" s="26"/>
      <c r="R71" s="26"/>
      <c r="S71" s="26"/>
      <c r="T71" s="26"/>
    </row>
  </sheetData>
  <autoFilter ref="G1:G69"/>
  <mergeCells count="23">
    <mergeCell ref="B64:K64"/>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 ref="N8:N11"/>
    <mergeCell ref="I8:I11"/>
    <mergeCell ref="J8:J11"/>
    <mergeCell ref="K8:K11"/>
    <mergeCell ref="L8:L11"/>
    <mergeCell ref="M8:M11"/>
  </mergeCells>
  <printOptions horizontalCentered="1"/>
  <pageMargins left="0.51181102362204722" right="0.51181102362204722" top="0.78740157480314965" bottom="0.78740157480314965"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20"/>
  <sheetViews>
    <sheetView topLeftCell="A97" zoomScale="110" zoomScaleNormal="110" workbookViewId="0">
      <selection activeCell="L109" sqref="L109"/>
    </sheetView>
  </sheetViews>
  <sheetFormatPr defaultColWidth="9.140625" defaultRowHeight="12"/>
  <cols>
    <col min="1" max="1" width="5.5703125" style="220" customWidth="1"/>
    <col min="2" max="2" width="34.5703125" style="220" customWidth="1"/>
    <col min="3" max="3" width="8.85546875" style="220" customWidth="1"/>
    <col min="4" max="5" width="7.28515625" style="220" customWidth="1"/>
    <col min="6" max="11" width="8.140625" style="220" customWidth="1"/>
    <col min="12" max="15" width="9.140625" style="220" customWidth="1"/>
    <col min="16" max="16" width="10.140625" style="220" customWidth="1"/>
    <col min="17" max="17" width="9.28515625" style="220" customWidth="1"/>
    <col min="18" max="16384" width="9.140625" style="220"/>
  </cols>
  <sheetData>
    <row r="1" spans="1:16" s="27" customFormat="1" ht="14.25">
      <c r="A1" s="368" t="s">
        <v>1258</v>
      </c>
      <c r="B1" s="368"/>
      <c r="C1" s="368"/>
      <c r="D1" s="368"/>
      <c r="E1" s="368"/>
      <c r="F1" s="368"/>
      <c r="G1" s="368"/>
      <c r="H1" s="368"/>
      <c r="I1" s="368"/>
      <c r="J1" s="368"/>
      <c r="K1" s="368"/>
      <c r="L1" s="368"/>
      <c r="M1" s="368"/>
      <c r="N1" s="368"/>
      <c r="O1" s="368"/>
      <c r="P1" s="368"/>
    </row>
    <row r="2" spans="1:16" s="27" customFormat="1" ht="14.25">
      <c r="A2" s="467" t="s">
        <v>1536</v>
      </c>
      <c r="B2" s="467"/>
      <c r="C2" s="467"/>
      <c r="D2" s="467"/>
      <c r="E2" s="467"/>
      <c r="F2" s="467"/>
      <c r="G2" s="467"/>
      <c r="H2" s="467"/>
      <c r="I2" s="467"/>
      <c r="J2" s="467"/>
      <c r="K2" s="467"/>
      <c r="L2" s="467"/>
      <c r="M2" s="467"/>
      <c r="N2" s="467"/>
      <c r="O2" s="467"/>
      <c r="P2" s="467"/>
    </row>
    <row r="3" spans="1:16" s="27" customFormat="1" ht="14.25">
      <c r="A3" s="115" t="s">
        <v>1246</v>
      </c>
      <c r="B3" s="119"/>
      <c r="C3" s="119"/>
      <c r="D3" s="119"/>
      <c r="E3" s="119"/>
      <c r="F3" s="119"/>
      <c r="G3" s="119"/>
      <c r="H3" s="119"/>
      <c r="I3" s="119"/>
      <c r="J3" s="119"/>
      <c r="K3" s="119"/>
      <c r="L3" s="119"/>
      <c r="M3" s="119"/>
      <c r="N3" s="119"/>
      <c r="O3" s="119"/>
      <c r="P3" s="119"/>
    </row>
    <row r="4" spans="1:16" s="27" customFormat="1" ht="14.25">
      <c r="A4" s="115" t="s">
        <v>307</v>
      </c>
      <c r="B4" s="119"/>
      <c r="C4" s="119"/>
      <c r="D4" s="119"/>
      <c r="E4" s="119"/>
      <c r="F4" s="119"/>
      <c r="G4" s="119"/>
      <c r="H4" s="119"/>
      <c r="I4" s="119"/>
      <c r="J4" s="119"/>
      <c r="K4" s="119"/>
      <c r="L4" s="119"/>
      <c r="M4" s="119"/>
      <c r="N4" s="119"/>
      <c r="O4" s="119"/>
      <c r="P4" s="119"/>
    </row>
    <row r="5" spans="1:16" s="27" customFormat="1" ht="14.25">
      <c r="A5" s="115" t="s">
        <v>306</v>
      </c>
      <c r="B5" s="119"/>
      <c r="C5" s="119"/>
      <c r="D5" s="119"/>
      <c r="E5" s="119"/>
      <c r="F5" s="119"/>
      <c r="G5" s="119"/>
      <c r="H5" s="119"/>
      <c r="I5" s="119"/>
      <c r="J5" s="119"/>
      <c r="K5" s="119"/>
      <c r="L5" s="119"/>
      <c r="M5" s="119"/>
      <c r="N5" s="119"/>
      <c r="O5" s="119"/>
      <c r="P5" s="119"/>
    </row>
    <row r="6" spans="1:16" s="15" customFormat="1" ht="13.5" thickBot="1">
      <c r="F6" s="28"/>
      <c r="G6" s="28"/>
      <c r="H6" s="28"/>
      <c r="I6" s="28"/>
      <c r="J6" s="28"/>
      <c r="K6" s="370" t="s">
        <v>13</v>
      </c>
      <c r="L6" s="370"/>
      <c r="M6" s="370"/>
      <c r="N6" s="370"/>
      <c r="O6" s="406" t="e">
        <f>#REF!</f>
        <v>#REF!</v>
      </c>
      <c r="P6" s="406"/>
    </row>
    <row r="7" spans="1:16" s="133" customFormat="1" ht="12.75">
      <c r="A7" s="378" t="s">
        <v>27</v>
      </c>
      <c r="B7" s="428" t="s">
        <v>28</v>
      </c>
      <c r="C7" s="428" t="s">
        <v>251</v>
      </c>
      <c r="D7" s="428" t="s">
        <v>17</v>
      </c>
      <c r="E7" s="428" t="s">
        <v>19</v>
      </c>
      <c r="F7" s="390" t="s">
        <v>15</v>
      </c>
      <c r="G7" s="391"/>
      <c r="H7" s="391"/>
      <c r="I7" s="391"/>
      <c r="J7" s="391"/>
      <c r="K7" s="429"/>
      <c r="L7" s="390" t="s">
        <v>16</v>
      </c>
      <c r="M7" s="391"/>
      <c r="N7" s="391"/>
      <c r="O7" s="391"/>
      <c r="P7" s="393"/>
    </row>
    <row r="8" spans="1:16" s="133" customFormat="1" ht="12.75">
      <c r="A8" s="379"/>
      <c r="B8" s="382"/>
      <c r="C8" s="382"/>
      <c r="D8" s="382"/>
      <c r="E8" s="382"/>
      <c r="F8" s="423" t="s">
        <v>18</v>
      </c>
      <c r="G8" s="423" t="s">
        <v>119</v>
      </c>
      <c r="H8" s="423" t="s">
        <v>252</v>
      </c>
      <c r="I8" s="423" t="s">
        <v>253</v>
      </c>
      <c r="J8" s="423" t="s">
        <v>122</v>
      </c>
      <c r="K8" s="426" t="s">
        <v>254</v>
      </c>
      <c r="L8" s="423" t="s">
        <v>20</v>
      </c>
      <c r="M8" s="423" t="s">
        <v>252</v>
      </c>
      <c r="N8" s="423" t="s">
        <v>253</v>
      </c>
      <c r="O8" s="423" t="s">
        <v>122</v>
      </c>
      <c r="P8" s="430" t="s">
        <v>255</v>
      </c>
    </row>
    <row r="9" spans="1:16" s="133" customFormat="1" ht="12.75">
      <c r="A9" s="379"/>
      <c r="B9" s="382"/>
      <c r="C9" s="382"/>
      <c r="D9" s="382"/>
      <c r="E9" s="382"/>
      <c r="F9" s="424"/>
      <c r="G9" s="424"/>
      <c r="H9" s="424"/>
      <c r="I9" s="424"/>
      <c r="J9" s="424"/>
      <c r="K9" s="382"/>
      <c r="L9" s="424"/>
      <c r="M9" s="424"/>
      <c r="N9" s="424"/>
      <c r="O9" s="424"/>
      <c r="P9" s="431"/>
    </row>
    <row r="10" spans="1:16" s="133" customFormat="1" ht="12.75">
      <c r="A10" s="379"/>
      <c r="B10" s="382"/>
      <c r="C10" s="382"/>
      <c r="D10" s="382"/>
      <c r="E10" s="382"/>
      <c r="F10" s="424"/>
      <c r="G10" s="433"/>
      <c r="H10" s="424"/>
      <c r="I10" s="424"/>
      <c r="J10" s="424"/>
      <c r="K10" s="382"/>
      <c r="L10" s="424"/>
      <c r="M10" s="424"/>
      <c r="N10" s="424"/>
      <c r="O10" s="424"/>
      <c r="P10" s="431"/>
    </row>
    <row r="11" spans="1:16" s="133" customFormat="1" ht="13.5" thickBot="1">
      <c r="A11" s="427"/>
      <c r="B11" s="383"/>
      <c r="C11" s="383"/>
      <c r="D11" s="383"/>
      <c r="E11" s="383"/>
      <c r="F11" s="425"/>
      <c r="G11" s="425"/>
      <c r="H11" s="425"/>
      <c r="I11" s="425"/>
      <c r="J11" s="425"/>
      <c r="K11" s="383"/>
      <c r="L11" s="425"/>
      <c r="M11" s="425"/>
      <c r="N11" s="425"/>
      <c r="O11" s="425"/>
      <c r="P11" s="432"/>
    </row>
    <row r="12" spans="1:16" s="133" customFormat="1" ht="14.25" thickTop="1" thickBot="1">
      <c r="A12" s="52">
        <v>1</v>
      </c>
      <c r="B12" s="53">
        <v>2</v>
      </c>
      <c r="C12" s="53">
        <v>3</v>
      </c>
      <c r="D12" s="53">
        <v>4</v>
      </c>
      <c r="E12" s="53">
        <v>5</v>
      </c>
      <c r="F12" s="53">
        <v>6</v>
      </c>
      <c r="G12" s="53">
        <v>7</v>
      </c>
      <c r="H12" s="53">
        <v>8</v>
      </c>
      <c r="I12" s="53">
        <v>9</v>
      </c>
      <c r="J12" s="53">
        <v>10</v>
      </c>
      <c r="K12" s="53">
        <v>11</v>
      </c>
      <c r="L12" s="53">
        <v>12</v>
      </c>
      <c r="M12" s="53">
        <v>13</v>
      </c>
      <c r="N12" s="53">
        <v>14</v>
      </c>
      <c r="O12" s="54">
        <v>15</v>
      </c>
      <c r="P12" s="55">
        <v>16</v>
      </c>
    </row>
    <row r="13" spans="1:16" s="346" customFormat="1" ht="24.75" thickTop="1">
      <c r="A13" s="106"/>
      <c r="B13" s="319" t="s">
        <v>1265</v>
      </c>
      <c r="C13" s="341"/>
      <c r="D13" s="342"/>
      <c r="E13" s="343"/>
      <c r="F13" s="344"/>
      <c r="G13" s="344"/>
      <c r="H13" s="320"/>
      <c r="I13" s="320"/>
      <c r="J13" s="320"/>
      <c r="K13" s="320"/>
      <c r="L13" s="320"/>
      <c r="M13" s="320"/>
      <c r="N13" s="320"/>
      <c r="O13" s="320"/>
      <c r="P13" s="345"/>
    </row>
    <row r="14" spans="1:16" s="346" customFormat="1" ht="24">
      <c r="A14" s="106">
        <f t="shared" ref="A14:A77" si="0">A13+1</f>
        <v>1</v>
      </c>
      <c r="B14" s="350" t="s">
        <v>1259</v>
      </c>
      <c r="C14" s="347"/>
      <c r="D14" s="342" t="s">
        <v>1082</v>
      </c>
      <c r="E14" s="352">
        <f>26*1*1.15/100</f>
        <v>0.29899999999999999</v>
      </c>
      <c r="F14" s="33"/>
      <c r="G14" s="4"/>
      <c r="H14" s="4"/>
      <c r="I14" s="129"/>
      <c r="J14" s="4"/>
      <c r="K14" s="337"/>
      <c r="L14" s="338"/>
      <c r="M14" s="338"/>
      <c r="N14" s="338"/>
      <c r="O14" s="338"/>
      <c r="P14" s="339"/>
    </row>
    <row r="15" spans="1:16" s="357" customFormat="1" ht="12.75">
      <c r="A15" s="106">
        <f t="shared" si="0"/>
        <v>2</v>
      </c>
      <c r="B15" s="358" t="s">
        <v>1260</v>
      </c>
      <c r="C15" s="348"/>
      <c r="D15" s="356" t="s">
        <v>14</v>
      </c>
      <c r="E15" s="354">
        <v>14</v>
      </c>
      <c r="F15" s="33"/>
      <c r="G15" s="33"/>
      <c r="H15" s="4"/>
      <c r="I15" s="4"/>
      <c r="J15" s="4"/>
      <c r="K15" s="337"/>
      <c r="L15" s="338"/>
      <c r="M15" s="338"/>
      <c r="N15" s="338"/>
      <c r="O15" s="338"/>
      <c r="P15" s="339"/>
    </row>
    <row r="16" spans="1:16" s="346" customFormat="1" ht="24">
      <c r="A16" s="106">
        <f t="shared" si="0"/>
        <v>3</v>
      </c>
      <c r="B16" s="350" t="s">
        <v>1333</v>
      </c>
      <c r="C16" s="347"/>
      <c r="D16" s="13" t="s">
        <v>29</v>
      </c>
      <c r="E16" s="351">
        <v>1</v>
      </c>
      <c r="F16" s="9"/>
      <c r="G16" s="33"/>
      <c r="H16" s="4"/>
      <c r="I16" s="129"/>
      <c r="J16" s="4"/>
      <c r="K16" s="337"/>
      <c r="L16" s="338"/>
      <c r="M16" s="338"/>
      <c r="N16" s="338"/>
      <c r="O16" s="338"/>
      <c r="P16" s="339"/>
    </row>
    <row r="17" spans="1:16" s="346" customFormat="1" ht="14.25">
      <c r="A17" s="106">
        <f t="shared" si="0"/>
        <v>4</v>
      </c>
      <c r="B17" s="350" t="s">
        <v>1261</v>
      </c>
      <c r="C17" s="347"/>
      <c r="D17" s="13" t="s">
        <v>42</v>
      </c>
      <c r="E17" s="353">
        <v>26</v>
      </c>
      <c r="F17" s="9"/>
      <c r="G17" s="33"/>
      <c r="H17" s="4"/>
      <c r="I17" s="129"/>
      <c r="J17" s="4"/>
      <c r="K17" s="337"/>
      <c r="L17" s="338"/>
      <c r="M17" s="338"/>
      <c r="N17" s="338"/>
      <c r="O17" s="338"/>
      <c r="P17" s="339"/>
    </row>
    <row r="18" spans="1:16" s="346" customFormat="1" ht="24">
      <c r="A18" s="106">
        <f t="shared" si="0"/>
        <v>5</v>
      </c>
      <c r="B18" s="350" t="s">
        <v>1262</v>
      </c>
      <c r="C18" s="347"/>
      <c r="D18" s="13" t="s">
        <v>29</v>
      </c>
      <c r="E18" s="351">
        <v>6</v>
      </c>
      <c r="F18" s="9"/>
      <c r="G18" s="33"/>
      <c r="H18" s="4"/>
      <c r="I18" s="129"/>
      <c r="J18" s="4"/>
      <c r="K18" s="337"/>
      <c r="L18" s="338"/>
      <c r="M18" s="338"/>
      <c r="N18" s="338"/>
      <c r="O18" s="338"/>
      <c r="P18" s="339"/>
    </row>
    <row r="19" spans="1:16" s="346" customFormat="1" ht="24">
      <c r="A19" s="106">
        <f t="shared" si="0"/>
        <v>6</v>
      </c>
      <c r="B19" s="350" t="s">
        <v>1263</v>
      </c>
      <c r="C19" s="347"/>
      <c r="D19" s="342" t="s">
        <v>1264</v>
      </c>
      <c r="E19" s="351">
        <v>1</v>
      </c>
      <c r="F19" s="352"/>
      <c r="G19" s="344"/>
      <c r="H19" s="320"/>
      <c r="I19" s="320"/>
      <c r="J19" s="4"/>
      <c r="K19" s="337"/>
      <c r="L19" s="338"/>
      <c r="M19" s="338"/>
      <c r="N19" s="338"/>
      <c r="O19" s="338"/>
      <c r="P19" s="339"/>
    </row>
    <row r="20" spans="1:16" s="346" customFormat="1" ht="24">
      <c r="A20" s="106"/>
      <c r="B20" s="319" t="s">
        <v>1290</v>
      </c>
      <c r="C20" s="341"/>
      <c r="D20" s="342"/>
      <c r="E20" s="343"/>
      <c r="F20" s="344"/>
      <c r="G20" s="344"/>
      <c r="H20" s="320"/>
      <c r="I20" s="320"/>
      <c r="J20" s="320"/>
      <c r="K20" s="320"/>
      <c r="L20" s="320"/>
      <c r="M20" s="320"/>
      <c r="N20" s="320"/>
      <c r="O20" s="320"/>
      <c r="P20" s="345"/>
    </row>
    <row r="21" spans="1:16" s="346" customFormat="1" ht="36">
      <c r="A21" s="106">
        <v>7</v>
      </c>
      <c r="B21" s="350" t="s">
        <v>1266</v>
      </c>
      <c r="C21" s="347"/>
      <c r="D21" s="342" t="s">
        <v>30</v>
      </c>
      <c r="E21" s="351">
        <v>1</v>
      </c>
      <c r="F21" s="352"/>
      <c r="G21" s="344"/>
      <c r="H21" s="320"/>
      <c r="I21" s="320"/>
      <c r="J21" s="4"/>
      <c r="K21" s="337"/>
      <c r="L21" s="338"/>
      <c r="M21" s="338"/>
      <c r="N21" s="338"/>
      <c r="O21" s="338"/>
      <c r="P21" s="339"/>
    </row>
    <row r="22" spans="1:16" s="346" customFormat="1" ht="36">
      <c r="A22" s="106">
        <f t="shared" si="0"/>
        <v>8</v>
      </c>
      <c r="B22" s="350" t="s">
        <v>1267</v>
      </c>
      <c r="C22" s="347"/>
      <c r="D22" s="342" t="s">
        <v>30</v>
      </c>
      <c r="E22" s="351">
        <v>1</v>
      </c>
      <c r="F22" s="352"/>
      <c r="G22" s="344"/>
      <c r="H22" s="320"/>
      <c r="I22" s="320"/>
      <c r="J22" s="4"/>
      <c r="K22" s="337"/>
      <c r="L22" s="338"/>
      <c r="M22" s="338"/>
      <c r="N22" s="338"/>
      <c r="O22" s="338"/>
      <c r="P22" s="339"/>
    </row>
    <row r="23" spans="1:16" s="346" customFormat="1" ht="24">
      <c r="A23" s="106">
        <f t="shared" si="0"/>
        <v>9</v>
      </c>
      <c r="B23" s="350" t="s">
        <v>1268</v>
      </c>
      <c r="C23" s="347"/>
      <c r="D23" s="342" t="s">
        <v>30</v>
      </c>
      <c r="E23" s="351">
        <v>1</v>
      </c>
      <c r="F23" s="352"/>
      <c r="G23" s="344"/>
      <c r="H23" s="320"/>
      <c r="I23" s="320"/>
      <c r="J23" s="4"/>
      <c r="K23" s="337"/>
      <c r="L23" s="338"/>
      <c r="M23" s="338"/>
      <c r="N23" s="338"/>
      <c r="O23" s="338"/>
      <c r="P23" s="339"/>
    </row>
    <row r="24" spans="1:16" s="346" customFormat="1" ht="24">
      <c r="A24" s="106">
        <f t="shared" si="0"/>
        <v>10</v>
      </c>
      <c r="B24" s="350" t="s">
        <v>1269</v>
      </c>
      <c r="C24" s="347"/>
      <c r="D24" s="13" t="s">
        <v>29</v>
      </c>
      <c r="E24" s="351">
        <v>2</v>
      </c>
      <c r="F24" s="352"/>
      <c r="G24" s="344"/>
      <c r="H24" s="320"/>
      <c r="I24" s="320"/>
      <c r="J24" s="4"/>
      <c r="K24" s="337"/>
      <c r="L24" s="338"/>
      <c r="M24" s="338"/>
      <c r="N24" s="338"/>
      <c r="O24" s="338"/>
      <c r="P24" s="339"/>
    </row>
    <row r="25" spans="1:16" s="346" customFormat="1" ht="14.25">
      <c r="A25" s="106">
        <f t="shared" si="0"/>
        <v>11</v>
      </c>
      <c r="B25" s="350" t="s">
        <v>1270</v>
      </c>
      <c r="C25" s="347"/>
      <c r="D25" s="13" t="s">
        <v>29</v>
      </c>
      <c r="E25" s="351">
        <v>2</v>
      </c>
      <c r="F25" s="352"/>
      <c r="G25" s="344"/>
      <c r="H25" s="320"/>
      <c r="I25" s="320"/>
      <c r="J25" s="4"/>
      <c r="K25" s="337"/>
      <c r="L25" s="338"/>
      <c r="M25" s="338"/>
      <c r="N25" s="338"/>
      <c r="O25" s="338"/>
      <c r="P25" s="339"/>
    </row>
    <row r="26" spans="1:16" s="346" customFormat="1" ht="24">
      <c r="A26" s="106">
        <f t="shared" si="0"/>
        <v>12</v>
      </c>
      <c r="B26" s="350" t="s">
        <v>1271</v>
      </c>
      <c r="C26" s="347"/>
      <c r="D26" s="13" t="s">
        <v>29</v>
      </c>
      <c r="E26" s="351">
        <v>2</v>
      </c>
      <c r="F26" s="352"/>
      <c r="G26" s="344"/>
      <c r="H26" s="320"/>
      <c r="I26" s="320"/>
      <c r="J26" s="4"/>
      <c r="K26" s="337"/>
      <c r="L26" s="338"/>
      <c r="M26" s="338"/>
      <c r="N26" s="338"/>
      <c r="O26" s="338"/>
      <c r="P26" s="339"/>
    </row>
    <row r="27" spans="1:16" s="346" customFormat="1" ht="24">
      <c r="A27" s="106">
        <f t="shared" si="0"/>
        <v>13</v>
      </c>
      <c r="B27" s="350" t="s">
        <v>1272</v>
      </c>
      <c r="C27" s="347"/>
      <c r="D27" s="342" t="s">
        <v>30</v>
      </c>
      <c r="E27" s="351">
        <v>2</v>
      </c>
      <c r="F27" s="352"/>
      <c r="G27" s="344"/>
      <c r="H27" s="320"/>
      <c r="I27" s="320"/>
      <c r="J27" s="4"/>
      <c r="K27" s="337"/>
      <c r="L27" s="338"/>
      <c r="M27" s="338"/>
      <c r="N27" s="338"/>
      <c r="O27" s="338"/>
      <c r="P27" s="339"/>
    </row>
    <row r="28" spans="1:16" s="346" customFormat="1" ht="24">
      <c r="A28" s="106">
        <f t="shared" si="0"/>
        <v>14</v>
      </c>
      <c r="B28" s="350" t="s">
        <v>1273</v>
      </c>
      <c r="C28" s="347"/>
      <c r="D28" s="13" t="s">
        <v>29</v>
      </c>
      <c r="E28" s="351">
        <v>3</v>
      </c>
      <c r="F28" s="352"/>
      <c r="G28" s="344"/>
      <c r="H28" s="320"/>
      <c r="I28" s="320"/>
      <c r="J28" s="4"/>
      <c r="K28" s="337"/>
      <c r="L28" s="338"/>
      <c r="M28" s="338"/>
      <c r="N28" s="338"/>
      <c r="O28" s="338"/>
      <c r="P28" s="339"/>
    </row>
    <row r="29" spans="1:16" s="346" customFormat="1" ht="14.25">
      <c r="A29" s="106">
        <f t="shared" si="0"/>
        <v>15</v>
      </c>
      <c r="B29" s="350" t="s">
        <v>1274</v>
      </c>
      <c r="C29" s="347"/>
      <c r="D29" s="13" t="s">
        <v>29</v>
      </c>
      <c r="E29" s="351">
        <v>9</v>
      </c>
      <c r="F29" s="352"/>
      <c r="G29" s="344"/>
      <c r="H29" s="320"/>
      <c r="I29" s="129"/>
      <c r="J29" s="4"/>
      <c r="K29" s="337"/>
      <c r="L29" s="338"/>
      <c r="M29" s="338"/>
      <c r="N29" s="338"/>
      <c r="O29" s="338"/>
      <c r="P29" s="339"/>
    </row>
    <row r="30" spans="1:16" s="346" customFormat="1" ht="24">
      <c r="A30" s="106">
        <f t="shared" si="0"/>
        <v>16</v>
      </c>
      <c r="B30" s="350" t="s">
        <v>1275</v>
      </c>
      <c r="C30" s="347"/>
      <c r="D30" s="13" t="s">
        <v>29</v>
      </c>
      <c r="E30" s="351">
        <v>3</v>
      </c>
      <c r="F30" s="352"/>
      <c r="G30" s="344"/>
      <c r="H30" s="320"/>
      <c r="I30" s="320"/>
      <c r="J30" s="4"/>
      <c r="K30" s="337"/>
      <c r="L30" s="338"/>
      <c r="M30" s="338"/>
      <c r="N30" s="338"/>
      <c r="O30" s="338"/>
      <c r="P30" s="339"/>
    </row>
    <row r="31" spans="1:16" s="346" customFormat="1" ht="14.25">
      <c r="A31" s="106">
        <f t="shared" si="0"/>
        <v>17</v>
      </c>
      <c r="B31" s="350" t="s">
        <v>1276</v>
      </c>
      <c r="C31" s="347"/>
      <c r="D31" s="13" t="s">
        <v>29</v>
      </c>
      <c r="E31" s="351">
        <v>3</v>
      </c>
      <c r="F31" s="352"/>
      <c r="G31" s="344"/>
      <c r="H31" s="320"/>
      <c r="I31" s="320"/>
      <c r="J31" s="4"/>
      <c r="K31" s="337"/>
      <c r="L31" s="338"/>
      <c r="M31" s="338"/>
      <c r="N31" s="338"/>
      <c r="O31" s="338"/>
      <c r="P31" s="339"/>
    </row>
    <row r="32" spans="1:16" s="346" customFormat="1" ht="24">
      <c r="A32" s="106">
        <f t="shared" si="0"/>
        <v>18</v>
      </c>
      <c r="B32" s="350" t="s">
        <v>1277</v>
      </c>
      <c r="C32" s="347"/>
      <c r="D32" s="13" t="s">
        <v>29</v>
      </c>
      <c r="E32" s="351">
        <v>1</v>
      </c>
      <c r="F32" s="352"/>
      <c r="G32" s="344"/>
      <c r="H32" s="320"/>
      <c r="I32" s="320"/>
      <c r="J32" s="4"/>
      <c r="K32" s="337"/>
      <c r="L32" s="338"/>
      <c r="M32" s="338"/>
      <c r="N32" s="338"/>
      <c r="O32" s="338"/>
      <c r="P32" s="339"/>
    </row>
    <row r="33" spans="1:16" s="346" customFormat="1" ht="24">
      <c r="A33" s="106">
        <f t="shared" si="0"/>
        <v>19</v>
      </c>
      <c r="B33" s="350" t="s">
        <v>1278</v>
      </c>
      <c r="C33" s="347"/>
      <c r="D33" s="13" t="s">
        <v>29</v>
      </c>
      <c r="E33" s="351">
        <v>1</v>
      </c>
      <c r="F33" s="352"/>
      <c r="G33" s="344"/>
      <c r="H33" s="320"/>
      <c r="I33" s="320"/>
      <c r="J33" s="4"/>
      <c r="K33" s="337"/>
      <c r="L33" s="338"/>
      <c r="M33" s="338"/>
      <c r="N33" s="338"/>
      <c r="O33" s="338"/>
      <c r="P33" s="339"/>
    </row>
    <row r="34" spans="1:16" s="346" customFormat="1" ht="24">
      <c r="A34" s="106">
        <f t="shared" si="0"/>
        <v>20</v>
      </c>
      <c r="B34" s="350" t="s">
        <v>1279</v>
      </c>
      <c r="C34" s="347"/>
      <c r="D34" s="13" t="s">
        <v>29</v>
      </c>
      <c r="E34" s="351">
        <v>1</v>
      </c>
      <c r="F34" s="352"/>
      <c r="G34" s="344"/>
      <c r="H34" s="320"/>
      <c r="I34" s="320"/>
      <c r="J34" s="4"/>
      <c r="K34" s="337"/>
      <c r="L34" s="338"/>
      <c r="M34" s="338"/>
      <c r="N34" s="338"/>
      <c r="O34" s="338"/>
      <c r="P34" s="339"/>
    </row>
    <row r="35" spans="1:16" s="346" customFormat="1" ht="24">
      <c r="A35" s="106">
        <f t="shared" si="0"/>
        <v>21</v>
      </c>
      <c r="B35" s="350" t="s">
        <v>1280</v>
      </c>
      <c r="C35" s="347"/>
      <c r="D35" s="13" t="s">
        <v>42</v>
      </c>
      <c r="E35" s="353">
        <v>6.6</v>
      </c>
      <c r="F35" s="352"/>
      <c r="G35" s="344"/>
      <c r="H35" s="320"/>
      <c r="I35" s="320"/>
      <c r="J35" s="4"/>
      <c r="K35" s="337"/>
      <c r="L35" s="338"/>
      <c r="M35" s="338"/>
      <c r="N35" s="338"/>
      <c r="O35" s="338"/>
      <c r="P35" s="339"/>
    </row>
    <row r="36" spans="1:16" s="346" customFormat="1" ht="14.25">
      <c r="A36" s="106">
        <f t="shared" si="0"/>
        <v>22</v>
      </c>
      <c r="B36" s="350" t="s">
        <v>1281</v>
      </c>
      <c r="C36" s="347"/>
      <c r="D36" s="13" t="s">
        <v>42</v>
      </c>
      <c r="E36" s="353">
        <v>10</v>
      </c>
      <c r="F36" s="352"/>
      <c r="G36" s="344"/>
      <c r="H36" s="320"/>
      <c r="I36" s="320"/>
      <c r="J36" s="4"/>
      <c r="K36" s="337"/>
      <c r="L36" s="338"/>
      <c r="M36" s="338"/>
      <c r="N36" s="338"/>
      <c r="O36" s="338"/>
      <c r="P36" s="339"/>
    </row>
    <row r="37" spans="1:16" s="346" customFormat="1" ht="24">
      <c r="A37" s="106">
        <f t="shared" si="0"/>
        <v>23</v>
      </c>
      <c r="B37" s="350" t="s">
        <v>1282</v>
      </c>
      <c r="C37" s="347"/>
      <c r="D37" s="13" t="s">
        <v>29</v>
      </c>
      <c r="E37" s="351">
        <v>2</v>
      </c>
      <c r="F37" s="352"/>
      <c r="G37" s="344"/>
      <c r="H37" s="320"/>
      <c r="I37" s="320"/>
      <c r="J37" s="4"/>
      <c r="K37" s="337"/>
      <c r="L37" s="338"/>
      <c r="M37" s="338"/>
      <c r="N37" s="338"/>
      <c r="O37" s="338"/>
      <c r="P37" s="339"/>
    </row>
    <row r="38" spans="1:16" s="346" customFormat="1" ht="24">
      <c r="A38" s="106">
        <f t="shared" si="0"/>
        <v>24</v>
      </c>
      <c r="B38" s="350" t="s">
        <v>286</v>
      </c>
      <c r="C38" s="347"/>
      <c r="D38" s="13" t="s">
        <v>29</v>
      </c>
      <c r="E38" s="351">
        <v>36</v>
      </c>
      <c r="F38" s="352"/>
      <c r="G38" s="344"/>
      <c r="H38" s="320"/>
      <c r="I38" s="320"/>
      <c r="J38" s="4"/>
      <c r="K38" s="337"/>
      <c r="L38" s="338"/>
      <c r="M38" s="338"/>
      <c r="N38" s="338"/>
      <c r="O38" s="338"/>
      <c r="P38" s="339"/>
    </row>
    <row r="39" spans="1:16" s="346" customFormat="1" ht="24">
      <c r="A39" s="106">
        <f t="shared" si="0"/>
        <v>25</v>
      </c>
      <c r="B39" s="350" t="s">
        <v>1283</v>
      </c>
      <c r="C39" s="347"/>
      <c r="D39" s="13" t="s">
        <v>42</v>
      </c>
      <c r="E39" s="353">
        <v>26</v>
      </c>
      <c r="F39" s="352"/>
      <c r="G39" s="344"/>
      <c r="H39" s="320"/>
      <c r="I39" s="320"/>
      <c r="J39" s="4"/>
      <c r="K39" s="337"/>
      <c r="L39" s="338"/>
      <c r="M39" s="338"/>
      <c r="N39" s="338"/>
      <c r="O39" s="338"/>
      <c r="P39" s="339"/>
    </row>
    <row r="40" spans="1:16" s="346" customFormat="1" ht="48">
      <c r="A40" s="106">
        <f t="shared" si="0"/>
        <v>26</v>
      </c>
      <c r="B40" s="350" t="s">
        <v>752</v>
      </c>
      <c r="C40" s="347"/>
      <c r="D40" s="13" t="s">
        <v>29</v>
      </c>
      <c r="E40" s="351">
        <v>8</v>
      </c>
      <c r="F40" s="352"/>
      <c r="G40" s="344"/>
      <c r="H40" s="320"/>
      <c r="I40" s="129"/>
      <c r="J40" s="4"/>
      <c r="K40" s="337"/>
      <c r="L40" s="338"/>
      <c r="M40" s="338"/>
      <c r="N40" s="338"/>
      <c r="O40" s="338"/>
      <c r="P40" s="339"/>
    </row>
    <row r="41" spans="1:16" s="346" customFormat="1" ht="14.25">
      <c r="A41" s="106">
        <f t="shared" si="0"/>
        <v>27</v>
      </c>
      <c r="B41" s="350" t="s">
        <v>288</v>
      </c>
      <c r="C41" s="347"/>
      <c r="D41" s="13" t="s">
        <v>29</v>
      </c>
      <c r="E41" s="351">
        <v>6</v>
      </c>
      <c r="F41" s="352"/>
      <c r="G41" s="344"/>
      <c r="H41" s="320"/>
      <c r="I41" s="320"/>
      <c r="J41" s="4"/>
      <c r="K41" s="337"/>
      <c r="L41" s="338"/>
      <c r="M41" s="338"/>
      <c r="N41" s="338"/>
      <c r="O41" s="338"/>
      <c r="P41" s="339"/>
    </row>
    <row r="42" spans="1:16" s="346" customFormat="1" ht="24">
      <c r="A42" s="106">
        <f t="shared" si="0"/>
        <v>28</v>
      </c>
      <c r="B42" s="350" t="s">
        <v>1284</v>
      </c>
      <c r="C42" s="347"/>
      <c r="D42" s="342" t="s">
        <v>30</v>
      </c>
      <c r="E42" s="351">
        <v>1</v>
      </c>
      <c r="F42" s="352"/>
      <c r="G42" s="344"/>
      <c r="H42" s="320"/>
      <c r="I42" s="320"/>
      <c r="J42" s="4"/>
      <c r="K42" s="337"/>
      <c r="L42" s="338"/>
      <c r="M42" s="338"/>
      <c r="N42" s="338"/>
      <c r="O42" s="338"/>
      <c r="P42" s="339"/>
    </row>
    <row r="43" spans="1:16" s="346" customFormat="1" ht="24">
      <c r="A43" s="106">
        <f t="shared" si="0"/>
        <v>29</v>
      </c>
      <c r="B43" s="350" t="s">
        <v>1285</v>
      </c>
      <c r="C43" s="347"/>
      <c r="D43" s="13" t="s">
        <v>29</v>
      </c>
      <c r="E43" s="351">
        <v>3</v>
      </c>
      <c r="F43" s="352"/>
      <c r="G43" s="344"/>
      <c r="H43" s="320"/>
      <c r="I43" s="4"/>
      <c r="J43" s="4"/>
      <c r="K43" s="337"/>
      <c r="L43" s="338"/>
      <c r="M43" s="338"/>
      <c r="N43" s="338"/>
      <c r="O43" s="338"/>
      <c r="P43" s="339"/>
    </row>
    <row r="44" spans="1:16" s="346" customFormat="1" ht="24">
      <c r="A44" s="106">
        <f t="shared" si="0"/>
        <v>30</v>
      </c>
      <c r="B44" s="350" t="s">
        <v>1286</v>
      </c>
      <c r="C44" s="347"/>
      <c r="D44" s="13" t="s">
        <v>29</v>
      </c>
      <c r="E44" s="351">
        <v>3</v>
      </c>
      <c r="F44" s="352"/>
      <c r="G44" s="344"/>
      <c r="H44" s="320"/>
      <c r="I44" s="320"/>
      <c r="J44" s="4"/>
      <c r="K44" s="337"/>
      <c r="L44" s="338"/>
      <c r="M44" s="338"/>
      <c r="N44" s="338"/>
      <c r="O44" s="338"/>
      <c r="P44" s="339"/>
    </row>
    <row r="45" spans="1:16" s="346" customFormat="1" ht="14.25">
      <c r="A45" s="106">
        <f t="shared" si="0"/>
        <v>31</v>
      </c>
      <c r="B45" s="350" t="s">
        <v>1287</v>
      </c>
      <c r="C45" s="347"/>
      <c r="D45" s="13" t="s">
        <v>29</v>
      </c>
      <c r="E45" s="351">
        <v>1</v>
      </c>
      <c r="F45" s="352"/>
      <c r="G45" s="344"/>
      <c r="H45" s="320"/>
      <c r="I45" s="320"/>
      <c r="J45" s="4"/>
      <c r="K45" s="337"/>
      <c r="L45" s="338"/>
      <c r="M45" s="338"/>
      <c r="N45" s="338"/>
      <c r="O45" s="338"/>
      <c r="P45" s="339"/>
    </row>
    <row r="46" spans="1:16" s="346" customFormat="1" ht="24">
      <c r="A46" s="106">
        <f t="shared" si="0"/>
        <v>32</v>
      </c>
      <c r="B46" s="350" t="s">
        <v>1288</v>
      </c>
      <c r="C46" s="347" t="s">
        <v>1289</v>
      </c>
      <c r="D46" s="13" t="s">
        <v>42</v>
      </c>
      <c r="E46" s="353">
        <v>32</v>
      </c>
      <c r="F46" s="352"/>
      <c r="G46" s="344"/>
      <c r="H46" s="320"/>
      <c r="I46" s="129"/>
      <c r="J46" s="4"/>
      <c r="K46" s="337"/>
      <c r="L46" s="338"/>
      <c r="M46" s="338"/>
      <c r="N46" s="338"/>
      <c r="O46" s="338"/>
      <c r="P46" s="339"/>
    </row>
    <row r="47" spans="1:16" s="346" customFormat="1" ht="22.5">
      <c r="A47" s="106">
        <f t="shared" si="0"/>
        <v>33</v>
      </c>
      <c r="B47" s="350" t="s">
        <v>1334</v>
      </c>
      <c r="C47" s="347" t="s">
        <v>1289</v>
      </c>
      <c r="D47" s="13" t="s">
        <v>29</v>
      </c>
      <c r="E47" s="351">
        <v>7</v>
      </c>
      <c r="F47" s="352"/>
      <c r="G47" s="344"/>
      <c r="H47" s="320"/>
      <c r="I47" s="320"/>
      <c r="J47" s="4"/>
      <c r="K47" s="337"/>
      <c r="L47" s="338"/>
      <c r="M47" s="338"/>
      <c r="N47" s="338"/>
      <c r="O47" s="338"/>
      <c r="P47" s="339"/>
    </row>
    <row r="48" spans="1:16" s="346" customFormat="1" ht="22.5">
      <c r="A48" s="106">
        <f t="shared" si="0"/>
        <v>34</v>
      </c>
      <c r="B48" s="350" t="s">
        <v>1335</v>
      </c>
      <c r="C48" s="347" t="s">
        <v>1289</v>
      </c>
      <c r="D48" s="13" t="s">
        <v>29</v>
      </c>
      <c r="E48" s="351">
        <v>3</v>
      </c>
      <c r="F48" s="352"/>
      <c r="G48" s="344"/>
      <c r="H48" s="320"/>
      <c r="I48" s="320"/>
      <c r="J48" s="4"/>
      <c r="K48" s="337"/>
      <c r="L48" s="338"/>
      <c r="M48" s="338"/>
      <c r="N48" s="338"/>
      <c r="O48" s="338"/>
      <c r="P48" s="339"/>
    </row>
    <row r="49" spans="1:16" s="346" customFormat="1" ht="22.5">
      <c r="A49" s="106">
        <f t="shared" si="0"/>
        <v>35</v>
      </c>
      <c r="B49" s="350" t="s">
        <v>1336</v>
      </c>
      <c r="C49" s="347" t="s">
        <v>1289</v>
      </c>
      <c r="D49" s="13" t="s">
        <v>29</v>
      </c>
      <c r="E49" s="351">
        <v>2</v>
      </c>
      <c r="F49" s="352"/>
      <c r="G49" s="344"/>
      <c r="H49" s="320"/>
      <c r="I49" s="320"/>
      <c r="J49" s="4"/>
      <c r="K49" s="337"/>
      <c r="L49" s="338"/>
      <c r="M49" s="338"/>
      <c r="N49" s="338"/>
      <c r="O49" s="338"/>
      <c r="P49" s="339"/>
    </row>
    <row r="50" spans="1:16" s="346" customFormat="1" ht="22.5">
      <c r="A50" s="106">
        <f t="shared" si="0"/>
        <v>36</v>
      </c>
      <c r="B50" s="350" t="s">
        <v>1337</v>
      </c>
      <c r="C50" s="347" t="s">
        <v>1289</v>
      </c>
      <c r="D50" s="13" t="s">
        <v>29</v>
      </c>
      <c r="E50" s="351">
        <v>9</v>
      </c>
      <c r="F50" s="352"/>
      <c r="G50" s="344"/>
      <c r="H50" s="320"/>
      <c r="I50" s="320"/>
      <c r="J50" s="4"/>
      <c r="K50" s="337"/>
      <c r="L50" s="338"/>
      <c r="M50" s="338"/>
      <c r="N50" s="338"/>
      <c r="O50" s="338"/>
      <c r="P50" s="339"/>
    </row>
    <row r="51" spans="1:16" s="346" customFormat="1" ht="24">
      <c r="A51" s="106">
        <f t="shared" si="0"/>
        <v>37</v>
      </c>
      <c r="B51" s="350" t="s">
        <v>1338</v>
      </c>
      <c r="C51" s="347" t="s">
        <v>1289</v>
      </c>
      <c r="D51" s="13" t="s">
        <v>29</v>
      </c>
      <c r="E51" s="351">
        <v>66</v>
      </c>
      <c r="F51" s="352"/>
      <c r="G51" s="344"/>
      <c r="H51" s="320"/>
      <c r="I51" s="320"/>
      <c r="J51" s="4"/>
      <c r="K51" s="337"/>
      <c r="L51" s="338"/>
      <c r="M51" s="338"/>
      <c r="N51" s="338"/>
      <c r="O51" s="338"/>
      <c r="P51" s="339"/>
    </row>
    <row r="52" spans="1:16" s="346" customFormat="1" ht="24">
      <c r="A52" s="106"/>
      <c r="B52" s="319" t="s">
        <v>1299</v>
      </c>
      <c r="C52" s="341"/>
      <c r="D52" s="342"/>
      <c r="E52" s="343"/>
      <c r="F52" s="344"/>
      <c r="G52" s="344"/>
      <c r="H52" s="320"/>
      <c r="I52" s="320"/>
      <c r="J52" s="320"/>
      <c r="K52" s="320"/>
      <c r="L52" s="320"/>
      <c r="M52" s="320"/>
      <c r="N52" s="320"/>
      <c r="O52" s="320"/>
      <c r="P52" s="345"/>
    </row>
    <row r="53" spans="1:16" s="346" customFormat="1" ht="36">
      <c r="A53" s="106">
        <v>38</v>
      </c>
      <c r="B53" s="350" t="s">
        <v>1291</v>
      </c>
      <c r="C53" s="347"/>
      <c r="D53" s="13" t="s">
        <v>26</v>
      </c>
      <c r="E53" s="352">
        <f>2*1*1.15</f>
        <v>2.2999999999999998</v>
      </c>
      <c r="F53" s="33"/>
      <c r="G53" s="33"/>
      <c r="H53" s="4"/>
      <c r="I53" s="4"/>
      <c r="J53" s="112"/>
      <c r="K53" s="337"/>
      <c r="L53" s="338"/>
      <c r="M53" s="338"/>
      <c r="N53" s="338"/>
      <c r="O53" s="338"/>
      <c r="P53" s="339"/>
    </row>
    <row r="54" spans="1:16" s="346" customFormat="1" ht="24">
      <c r="A54" s="106">
        <f t="shared" si="0"/>
        <v>39</v>
      </c>
      <c r="B54" s="350" t="s">
        <v>1292</v>
      </c>
      <c r="C54" s="347"/>
      <c r="D54" s="13" t="s">
        <v>42</v>
      </c>
      <c r="E54" s="353">
        <v>4</v>
      </c>
      <c r="F54" s="33"/>
      <c r="G54" s="33"/>
      <c r="H54" s="4"/>
      <c r="I54" s="129"/>
      <c r="J54" s="4"/>
      <c r="K54" s="337"/>
      <c r="L54" s="338"/>
      <c r="M54" s="338"/>
      <c r="N54" s="338"/>
      <c r="O54" s="338"/>
      <c r="P54" s="339"/>
    </row>
    <row r="55" spans="1:16" s="357" customFormat="1" ht="12.75">
      <c r="A55" s="106">
        <f t="shared" si="0"/>
        <v>40</v>
      </c>
      <c r="B55" s="358" t="s">
        <v>1260</v>
      </c>
      <c r="C55" s="348"/>
      <c r="D55" s="356" t="s">
        <v>14</v>
      </c>
      <c r="E55" s="354">
        <v>1</v>
      </c>
      <c r="F55" s="33"/>
      <c r="G55" s="33"/>
      <c r="H55" s="4"/>
      <c r="I55" s="4"/>
      <c r="J55" s="4"/>
      <c r="K55" s="337"/>
      <c r="L55" s="338"/>
      <c r="M55" s="338"/>
      <c r="N55" s="338"/>
      <c r="O55" s="338"/>
      <c r="P55" s="339"/>
    </row>
    <row r="56" spans="1:16" s="346" customFormat="1" ht="24">
      <c r="A56" s="106">
        <f t="shared" si="0"/>
        <v>41</v>
      </c>
      <c r="B56" s="350" t="s">
        <v>1293</v>
      </c>
      <c r="C56" s="347"/>
      <c r="D56" s="13" t="s">
        <v>42</v>
      </c>
      <c r="E56" s="353">
        <v>8</v>
      </c>
      <c r="F56" s="33"/>
      <c r="G56" s="33"/>
      <c r="H56" s="4"/>
      <c r="I56" s="129"/>
      <c r="J56" s="4"/>
      <c r="K56" s="337"/>
      <c r="L56" s="338"/>
      <c r="M56" s="338"/>
      <c r="N56" s="338"/>
      <c r="O56" s="338"/>
      <c r="P56" s="339"/>
    </row>
    <row r="57" spans="1:16" s="346" customFormat="1" ht="24">
      <c r="A57" s="106">
        <f t="shared" si="0"/>
        <v>42</v>
      </c>
      <c r="B57" s="350" t="s">
        <v>1294</v>
      </c>
      <c r="C57" s="347"/>
      <c r="D57" s="13" t="s">
        <v>29</v>
      </c>
      <c r="E57" s="351">
        <v>2</v>
      </c>
      <c r="F57" s="352"/>
      <c r="G57" s="33"/>
      <c r="H57" s="4"/>
      <c r="I57" s="320"/>
      <c r="J57" s="4"/>
      <c r="K57" s="337"/>
      <c r="L57" s="338"/>
      <c r="M57" s="338"/>
      <c r="N57" s="338"/>
      <c r="O57" s="338"/>
      <c r="P57" s="339"/>
    </row>
    <row r="58" spans="1:16" s="346" customFormat="1" ht="24">
      <c r="A58" s="106">
        <f t="shared" si="0"/>
        <v>43</v>
      </c>
      <c r="B58" s="350" t="s">
        <v>1295</v>
      </c>
      <c r="C58" s="347"/>
      <c r="D58" s="13" t="s">
        <v>29</v>
      </c>
      <c r="E58" s="351">
        <v>4</v>
      </c>
      <c r="F58" s="33"/>
      <c r="G58" s="33"/>
      <c r="H58" s="4"/>
      <c r="I58" s="320"/>
      <c r="J58" s="4"/>
      <c r="K58" s="337"/>
      <c r="L58" s="338"/>
      <c r="M58" s="338"/>
      <c r="N58" s="338"/>
      <c r="O58" s="338"/>
      <c r="P58" s="339"/>
    </row>
    <row r="59" spans="1:16" s="346" customFormat="1" ht="14.25">
      <c r="A59" s="106">
        <f t="shared" si="0"/>
        <v>44</v>
      </c>
      <c r="B59" s="350" t="s">
        <v>1296</v>
      </c>
      <c r="C59" s="347"/>
      <c r="D59" s="13" t="s">
        <v>42</v>
      </c>
      <c r="E59" s="353">
        <v>4</v>
      </c>
      <c r="F59" s="9"/>
      <c r="G59" s="33"/>
      <c r="H59" s="4"/>
      <c r="I59" s="129"/>
      <c r="J59" s="4"/>
      <c r="K59" s="337"/>
      <c r="L59" s="338"/>
      <c r="M59" s="338"/>
      <c r="N59" s="338"/>
      <c r="O59" s="338"/>
      <c r="P59" s="339"/>
    </row>
    <row r="60" spans="1:16" s="346" customFormat="1" ht="24">
      <c r="A60" s="106">
        <f t="shared" si="0"/>
        <v>45</v>
      </c>
      <c r="B60" s="350" t="s">
        <v>1297</v>
      </c>
      <c r="C60" s="347"/>
      <c r="D60" s="13" t="s">
        <v>29</v>
      </c>
      <c r="E60" s="351">
        <v>1</v>
      </c>
      <c r="F60" s="352"/>
      <c r="G60" s="33"/>
      <c r="H60" s="4"/>
      <c r="I60" s="320"/>
      <c r="J60" s="4"/>
      <c r="K60" s="337"/>
      <c r="L60" s="338"/>
      <c r="M60" s="338"/>
      <c r="N60" s="338"/>
      <c r="O60" s="338"/>
      <c r="P60" s="339"/>
    </row>
    <row r="61" spans="1:16" s="346" customFormat="1" ht="24">
      <c r="A61" s="106">
        <f t="shared" si="0"/>
        <v>46</v>
      </c>
      <c r="B61" s="350" t="s">
        <v>1339</v>
      </c>
      <c r="C61" s="347"/>
      <c r="D61" s="13" t="s">
        <v>29</v>
      </c>
      <c r="E61" s="351">
        <v>1</v>
      </c>
      <c r="F61" s="9"/>
      <c r="G61" s="33"/>
      <c r="H61" s="4"/>
      <c r="I61" s="320"/>
      <c r="J61" s="4"/>
      <c r="K61" s="337"/>
      <c r="L61" s="338"/>
      <c r="M61" s="338"/>
      <c r="N61" s="338"/>
      <c r="O61" s="338"/>
      <c r="P61" s="339"/>
    </row>
    <row r="62" spans="1:16" s="346" customFormat="1" ht="14.25">
      <c r="A62" s="106">
        <f t="shared" si="0"/>
        <v>47</v>
      </c>
      <c r="B62" s="350" t="s">
        <v>1298</v>
      </c>
      <c r="C62" s="347"/>
      <c r="D62" s="13" t="s">
        <v>29</v>
      </c>
      <c r="E62" s="351">
        <v>6</v>
      </c>
      <c r="F62" s="9"/>
      <c r="G62" s="33"/>
      <c r="H62" s="4"/>
      <c r="I62" s="320"/>
      <c r="J62" s="4"/>
      <c r="K62" s="337"/>
      <c r="L62" s="338"/>
      <c r="M62" s="338"/>
      <c r="N62" s="338"/>
      <c r="O62" s="338"/>
      <c r="P62" s="339"/>
    </row>
    <row r="63" spans="1:16" s="346" customFormat="1" ht="24">
      <c r="A63" s="106"/>
      <c r="B63" s="319" t="s">
        <v>1310</v>
      </c>
      <c r="C63" s="341"/>
      <c r="D63" s="342"/>
      <c r="E63" s="343"/>
      <c r="F63" s="344"/>
      <c r="G63" s="344"/>
      <c r="H63" s="320"/>
      <c r="I63" s="320"/>
      <c r="J63" s="320"/>
      <c r="K63" s="320"/>
      <c r="L63" s="320"/>
      <c r="M63" s="320"/>
      <c r="N63" s="320"/>
      <c r="O63" s="320"/>
      <c r="P63" s="345"/>
    </row>
    <row r="64" spans="1:16" s="346" customFormat="1" ht="24">
      <c r="A64" s="106">
        <v>48</v>
      </c>
      <c r="B64" s="350" t="s">
        <v>1300</v>
      </c>
      <c r="C64" s="347"/>
      <c r="D64" s="13" t="s">
        <v>29</v>
      </c>
      <c r="E64" s="351">
        <v>8</v>
      </c>
      <c r="F64" s="352"/>
      <c r="G64" s="344"/>
      <c r="H64" s="320"/>
      <c r="I64" s="349"/>
      <c r="J64" s="4"/>
      <c r="K64" s="337"/>
      <c r="L64" s="338"/>
      <c r="M64" s="338"/>
      <c r="N64" s="338"/>
      <c r="O64" s="338"/>
      <c r="P64" s="339"/>
    </row>
    <row r="65" spans="1:16" s="346" customFormat="1" ht="24">
      <c r="A65" s="106">
        <f t="shared" si="0"/>
        <v>49</v>
      </c>
      <c r="B65" s="350" t="s">
        <v>1301</v>
      </c>
      <c r="C65" s="347" t="s">
        <v>1302</v>
      </c>
      <c r="D65" s="13" t="s">
        <v>29</v>
      </c>
      <c r="E65" s="351">
        <v>1</v>
      </c>
      <c r="F65" s="352"/>
      <c r="G65" s="344"/>
      <c r="H65" s="320"/>
      <c r="I65" s="349"/>
      <c r="J65" s="4"/>
      <c r="K65" s="337"/>
      <c r="L65" s="338"/>
      <c r="M65" s="338"/>
      <c r="N65" s="338"/>
      <c r="O65" s="338"/>
      <c r="P65" s="339"/>
    </row>
    <row r="66" spans="1:16" s="346" customFormat="1" ht="14.25">
      <c r="A66" s="106">
        <f t="shared" si="0"/>
        <v>50</v>
      </c>
      <c r="B66" s="350" t="s">
        <v>746</v>
      </c>
      <c r="C66" s="347"/>
      <c r="D66" s="13" t="s">
        <v>42</v>
      </c>
      <c r="E66" s="353">
        <v>30</v>
      </c>
      <c r="F66" s="352"/>
      <c r="G66" s="344"/>
      <c r="H66" s="320"/>
      <c r="I66" s="129"/>
      <c r="J66" s="4"/>
      <c r="K66" s="337"/>
      <c r="L66" s="338"/>
      <c r="M66" s="338"/>
      <c r="N66" s="338"/>
      <c r="O66" s="338"/>
      <c r="P66" s="339"/>
    </row>
    <row r="67" spans="1:16" s="346" customFormat="1" ht="14.25">
      <c r="A67" s="106">
        <f t="shared" si="0"/>
        <v>51</v>
      </c>
      <c r="B67" s="350" t="s">
        <v>1303</v>
      </c>
      <c r="C67" s="347"/>
      <c r="D67" s="13" t="s">
        <v>42</v>
      </c>
      <c r="E67" s="353">
        <v>2</v>
      </c>
      <c r="F67" s="352"/>
      <c r="G67" s="344"/>
      <c r="H67" s="320"/>
      <c r="I67" s="129"/>
      <c r="J67" s="4"/>
      <c r="K67" s="337"/>
      <c r="L67" s="338"/>
      <c r="M67" s="338"/>
      <c r="N67" s="338"/>
      <c r="O67" s="338"/>
      <c r="P67" s="339"/>
    </row>
    <row r="68" spans="1:16" s="346" customFormat="1" ht="14.25">
      <c r="A68" s="106">
        <f t="shared" si="0"/>
        <v>52</v>
      </c>
      <c r="B68" s="350" t="s">
        <v>1128</v>
      </c>
      <c r="C68" s="347"/>
      <c r="D68" s="13" t="s">
        <v>29</v>
      </c>
      <c r="E68" s="351">
        <v>1</v>
      </c>
      <c r="F68" s="352"/>
      <c r="G68" s="344"/>
      <c r="H68" s="320"/>
      <c r="I68" s="129"/>
      <c r="J68" s="4"/>
      <c r="K68" s="337"/>
      <c r="L68" s="338"/>
      <c r="M68" s="338"/>
      <c r="N68" s="338"/>
      <c r="O68" s="338"/>
      <c r="P68" s="339"/>
    </row>
    <row r="69" spans="1:16" s="346" customFormat="1" ht="24">
      <c r="A69" s="106">
        <f t="shared" si="0"/>
        <v>53</v>
      </c>
      <c r="B69" s="350" t="s">
        <v>1130</v>
      </c>
      <c r="C69" s="347"/>
      <c r="D69" s="13" t="s">
        <v>29</v>
      </c>
      <c r="E69" s="351">
        <v>4</v>
      </c>
      <c r="F69" s="352"/>
      <c r="G69" s="344"/>
      <c r="H69" s="320"/>
      <c r="I69" s="129"/>
      <c r="J69" s="4"/>
      <c r="K69" s="337"/>
      <c r="L69" s="338"/>
      <c r="M69" s="338"/>
      <c r="N69" s="338"/>
      <c r="O69" s="338"/>
      <c r="P69" s="339"/>
    </row>
    <row r="70" spans="1:16" s="346" customFormat="1" ht="14.25">
      <c r="A70" s="106">
        <f t="shared" si="0"/>
        <v>54</v>
      </c>
      <c r="B70" s="350" t="s">
        <v>1129</v>
      </c>
      <c r="C70" s="347"/>
      <c r="D70" s="13" t="s">
        <v>29</v>
      </c>
      <c r="E70" s="351">
        <v>1</v>
      </c>
      <c r="F70" s="352"/>
      <c r="G70" s="344"/>
      <c r="H70" s="320"/>
      <c r="I70" s="129"/>
      <c r="J70" s="4"/>
      <c r="K70" s="337"/>
      <c r="L70" s="338"/>
      <c r="M70" s="338"/>
      <c r="N70" s="338"/>
      <c r="O70" s="338"/>
      <c r="P70" s="339"/>
    </row>
    <row r="71" spans="1:16" s="346" customFormat="1" ht="14.25">
      <c r="A71" s="106">
        <f t="shared" si="0"/>
        <v>55</v>
      </c>
      <c r="B71" s="350" t="s">
        <v>285</v>
      </c>
      <c r="C71" s="347"/>
      <c r="D71" s="13" t="s">
        <v>42</v>
      </c>
      <c r="E71" s="353">
        <v>9</v>
      </c>
      <c r="F71" s="352"/>
      <c r="G71" s="344"/>
      <c r="H71" s="320"/>
      <c r="I71" s="129"/>
      <c r="J71" s="4"/>
      <c r="K71" s="337"/>
      <c r="L71" s="338"/>
      <c r="M71" s="338"/>
      <c r="N71" s="338"/>
      <c r="O71" s="338"/>
      <c r="P71" s="339"/>
    </row>
    <row r="72" spans="1:16" s="346" customFormat="1" ht="14.25">
      <c r="A72" s="106">
        <f t="shared" si="0"/>
        <v>56</v>
      </c>
      <c r="B72" s="350" t="s">
        <v>1304</v>
      </c>
      <c r="C72" s="347" t="s">
        <v>1302</v>
      </c>
      <c r="D72" s="13" t="s">
        <v>29</v>
      </c>
      <c r="E72" s="351">
        <v>8</v>
      </c>
      <c r="F72" s="352"/>
      <c r="G72" s="344"/>
      <c r="H72" s="320"/>
      <c r="I72" s="349"/>
      <c r="J72" s="4"/>
      <c r="K72" s="337"/>
      <c r="L72" s="338"/>
      <c r="M72" s="338"/>
      <c r="N72" s="338"/>
      <c r="O72" s="338"/>
      <c r="P72" s="339"/>
    </row>
    <row r="73" spans="1:16" s="346" customFormat="1" ht="14.25">
      <c r="A73" s="106">
        <f t="shared" si="0"/>
        <v>57</v>
      </c>
      <c r="B73" s="350" t="s">
        <v>1305</v>
      </c>
      <c r="C73" s="347"/>
      <c r="D73" s="13" t="s">
        <v>29</v>
      </c>
      <c r="E73" s="351">
        <v>3</v>
      </c>
      <c r="F73" s="352"/>
      <c r="G73" s="344"/>
      <c r="H73" s="320"/>
      <c r="I73" s="349"/>
      <c r="J73" s="4"/>
      <c r="K73" s="337"/>
      <c r="L73" s="338"/>
      <c r="M73" s="338"/>
      <c r="N73" s="338"/>
      <c r="O73" s="338"/>
      <c r="P73" s="339"/>
    </row>
    <row r="74" spans="1:16" s="346" customFormat="1" ht="14.25">
      <c r="A74" s="106">
        <f t="shared" si="0"/>
        <v>58</v>
      </c>
      <c r="B74" s="350" t="s">
        <v>1306</v>
      </c>
      <c r="C74" s="347"/>
      <c r="D74" s="13" t="s">
        <v>29</v>
      </c>
      <c r="E74" s="351">
        <v>3</v>
      </c>
      <c r="F74" s="352"/>
      <c r="G74" s="344"/>
      <c r="H74" s="320"/>
      <c r="I74" s="349"/>
      <c r="J74" s="4"/>
      <c r="K74" s="337"/>
      <c r="L74" s="338"/>
      <c r="M74" s="338"/>
      <c r="N74" s="338"/>
      <c r="O74" s="338"/>
      <c r="P74" s="339"/>
    </row>
    <row r="75" spans="1:16" s="346" customFormat="1" ht="14.25">
      <c r="A75" s="106">
        <f t="shared" si="0"/>
        <v>59</v>
      </c>
      <c r="B75" s="350" t="s">
        <v>1340</v>
      </c>
      <c r="C75" s="347"/>
      <c r="D75" s="13" t="s">
        <v>29</v>
      </c>
      <c r="E75" s="351">
        <v>1</v>
      </c>
      <c r="F75" s="352"/>
      <c r="G75" s="344"/>
      <c r="H75" s="320"/>
      <c r="I75" s="349"/>
      <c r="J75" s="4"/>
      <c r="K75" s="337"/>
      <c r="L75" s="338"/>
      <c r="M75" s="338"/>
      <c r="N75" s="338"/>
      <c r="O75" s="338"/>
      <c r="P75" s="339"/>
    </row>
    <row r="76" spans="1:16" s="346" customFormat="1" ht="14.25">
      <c r="A76" s="106">
        <f t="shared" si="0"/>
        <v>60</v>
      </c>
      <c r="B76" s="350" t="s">
        <v>1341</v>
      </c>
      <c r="C76" s="347"/>
      <c r="D76" s="13" t="s">
        <v>29</v>
      </c>
      <c r="E76" s="351">
        <v>3</v>
      </c>
      <c r="F76" s="352"/>
      <c r="G76" s="344"/>
      <c r="H76" s="320"/>
      <c r="I76" s="349"/>
      <c r="J76" s="4"/>
      <c r="K76" s="337"/>
      <c r="L76" s="338"/>
      <c r="M76" s="338"/>
      <c r="N76" s="338"/>
      <c r="O76" s="338"/>
      <c r="P76" s="339"/>
    </row>
    <row r="77" spans="1:16" s="346" customFormat="1" ht="14.25">
      <c r="A77" s="106">
        <f t="shared" si="0"/>
        <v>61</v>
      </c>
      <c r="B77" s="350" t="s">
        <v>1342</v>
      </c>
      <c r="C77" s="347"/>
      <c r="D77" s="13" t="s">
        <v>29</v>
      </c>
      <c r="E77" s="351">
        <v>1</v>
      </c>
      <c r="F77" s="352"/>
      <c r="G77" s="344"/>
      <c r="H77" s="320"/>
      <c r="I77" s="349"/>
      <c r="J77" s="4"/>
      <c r="K77" s="337"/>
      <c r="L77" s="338"/>
      <c r="M77" s="338"/>
      <c r="N77" s="338"/>
      <c r="O77" s="338"/>
      <c r="P77" s="339"/>
    </row>
    <row r="78" spans="1:16" s="357" customFormat="1" ht="12.75">
      <c r="A78" s="106">
        <f t="shared" ref="A78:A107" si="1">A77+1</f>
        <v>62</v>
      </c>
      <c r="B78" s="358" t="s">
        <v>753</v>
      </c>
      <c r="C78" s="348"/>
      <c r="D78" s="356" t="s">
        <v>40</v>
      </c>
      <c r="E78" s="354">
        <v>59</v>
      </c>
      <c r="F78" s="344"/>
      <c r="G78" s="320"/>
      <c r="H78" s="320"/>
      <c r="I78" s="129"/>
      <c r="J78" s="4"/>
      <c r="K78" s="337"/>
      <c r="L78" s="338"/>
      <c r="M78" s="338"/>
      <c r="N78" s="338"/>
      <c r="O78" s="338"/>
      <c r="P78" s="339"/>
    </row>
    <row r="79" spans="1:16" s="346" customFormat="1" ht="24">
      <c r="A79" s="106">
        <f t="shared" si="1"/>
        <v>63</v>
      </c>
      <c r="B79" s="350" t="s">
        <v>1307</v>
      </c>
      <c r="C79" s="347" t="s">
        <v>1302</v>
      </c>
      <c r="D79" s="13" t="s">
        <v>29</v>
      </c>
      <c r="E79" s="351">
        <v>2</v>
      </c>
      <c r="F79" s="352"/>
      <c r="G79" s="344"/>
      <c r="H79" s="320"/>
      <c r="I79" s="320"/>
      <c r="J79" s="4"/>
      <c r="K79" s="337"/>
      <c r="L79" s="338"/>
      <c r="M79" s="338"/>
      <c r="N79" s="338"/>
      <c r="O79" s="338"/>
      <c r="P79" s="339"/>
    </row>
    <row r="80" spans="1:16" s="346" customFormat="1" ht="24">
      <c r="A80" s="106">
        <f t="shared" si="1"/>
        <v>64</v>
      </c>
      <c r="B80" s="350" t="s">
        <v>1308</v>
      </c>
      <c r="C80" s="347" t="s">
        <v>1302</v>
      </c>
      <c r="D80" s="342" t="s">
        <v>30</v>
      </c>
      <c r="E80" s="351">
        <v>12</v>
      </c>
      <c r="F80" s="352"/>
      <c r="G80" s="344"/>
      <c r="H80" s="320"/>
      <c r="I80" s="320"/>
      <c r="J80" s="4"/>
      <c r="K80" s="337"/>
      <c r="L80" s="338"/>
      <c r="M80" s="338"/>
      <c r="N80" s="338"/>
      <c r="O80" s="338"/>
      <c r="P80" s="339"/>
    </row>
    <row r="81" spans="1:16" s="346" customFormat="1" ht="14.25">
      <c r="A81" s="106">
        <f t="shared" si="1"/>
        <v>65</v>
      </c>
      <c r="B81" s="350" t="s">
        <v>1309</v>
      </c>
      <c r="C81" s="347" t="s">
        <v>1302</v>
      </c>
      <c r="D81" s="342" t="s">
        <v>30</v>
      </c>
      <c r="E81" s="351">
        <v>16</v>
      </c>
      <c r="F81" s="352"/>
      <c r="G81" s="344"/>
      <c r="H81" s="320"/>
      <c r="I81" s="320"/>
      <c r="J81" s="4"/>
      <c r="K81" s="337"/>
      <c r="L81" s="338"/>
      <c r="M81" s="338"/>
      <c r="N81" s="338"/>
      <c r="O81" s="338"/>
      <c r="P81" s="339"/>
    </row>
    <row r="82" spans="1:16" s="346" customFormat="1" ht="14.25">
      <c r="A82" s="106">
        <f t="shared" si="1"/>
        <v>66</v>
      </c>
      <c r="B82" s="350" t="s">
        <v>1343</v>
      </c>
      <c r="C82" s="347" t="s">
        <v>1302</v>
      </c>
      <c r="D82" s="13" t="s">
        <v>29</v>
      </c>
      <c r="E82" s="351">
        <v>4</v>
      </c>
      <c r="F82" s="352"/>
      <c r="G82" s="344"/>
      <c r="H82" s="320"/>
      <c r="I82" s="320"/>
      <c r="J82" s="4"/>
      <c r="K82" s="337"/>
      <c r="L82" s="338"/>
      <c r="M82" s="338"/>
      <c r="N82" s="338"/>
      <c r="O82" s="338"/>
      <c r="P82" s="339"/>
    </row>
    <row r="83" spans="1:16" s="346" customFormat="1" ht="14.25">
      <c r="A83" s="106"/>
      <c r="B83" s="319" t="s">
        <v>1318</v>
      </c>
      <c r="C83" s="341"/>
      <c r="D83" s="342"/>
      <c r="E83" s="343"/>
      <c r="F83" s="344"/>
      <c r="G83" s="344"/>
      <c r="H83" s="320"/>
      <c r="I83" s="320"/>
      <c r="J83" s="320"/>
      <c r="K83" s="320"/>
      <c r="L83" s="320"/>
      <c r="M83" s="320"/>
      <c r="N83" s="320"/>
      <c r="O83" s="320"/>
      <c r="P83" s="345"/>
    </row>
    <row r="84" spans="1:16" s="346" customFormat="1" ht="36">
      <c r="A84" s="106">
        <v>67</v>
      </c>
      <c r="B84" s="350" t="s">
        <v>1311</v>
      </c>
      <c r="C84" s="347"/>
      <c r="D84" s="13" t="s">
        <v>42</v>
      </c>
      <c r="E84" s="353">
        <v>30</v>
      </c>
      <c r="F84" s="352"/>
      <c r="G84" s="344"/>
      <c r="H84" s="320"/>
      <c r="I84" s="320"/>
      <c r="J84" s="4"/>
      <c r="K84" s="337"/>
      <c r="L84" s="338"/>
      <c r="M84" s="338"/>
      <c r="N84" s="338"/>
      <c r="O84" s="338"/>
      <c r="P84" s="339"/>
    </row>
    <row r="85" spans="1:16" s="346" customFormat="1" ht="24">
      <c r="A85" s="106">
        <f t="shared" si="1"/>
        <v>68</v>
      </c>
      <c r="B85" s="350" t="s">
        <v>1312</v>
      </c>
      <c r="C85" s="347"/>
      <c r="D85" s="13" t="s">
        <v>42</v>
      </c>
      <c r="E85" s="353">
        <v>32</v>
      </c>
      <c r="F85" s="352"/>
      <c r="G85" s="344"/>
      <c r="H85" s="320"/>
      <c r="I85" s="320"/>
      <c r="J85" s="4"/>
      <c r="K85" s="337"/>
      <c r="L85" s="338"/>
      <c r="M85" s="338"/>
      <c r="N85" s="338"/>
      <c r="O85" s="338"/>
      <c r="P85" s="339"/>
    </row>
    <row r="86" spans="1:16" s="346" customFormat="1" ht="14.25">
      <c r="A86" s="106">
        <f t="shared" si="1"/>
        <v>69</v>
      </c>
      <c r="B86" s="350" t="s">
        <v>206</v>
      </c>
      <c r="C86" s="347"/>
      <c r="D86" s="342" t="s">
        <v>1313</v>
      </c>
      <c r="E86" s="351">
        <v>1</v>
      </c>
      <c r="F86" s="352"/>
      <c r="G86" s="344"/>
      <c r="H86" s="320"/>
      <c r="I86" s="320"/>
      <c r="J86" s="4"/>
      <c r="K86" s="337"/>
      <c r="L86" s="338"/>
      <c r="M86" s="338"/>
      <c r="N86" s="338"/>
      <c r="O86" s="338"/>
      <c r="P86" s="339"/>
    </row>
    <row r="87" spans="1:16" s="346" customFormat="1" ht="14.25">
      <c r="A87" s="106"/>
      <c r="B87" s="319" t="s">
        <v>1319</v>
      </c>
      <c r="C87" s="341"/>
      <c r="D87" s="342"/>
      <c r="E87" s="343"/>
      <c r="F87" s="344"/>
      <c r="G87" s="344"/>
      <c r="H87" s="320"/>
      <c r="I87" s="320"/>
      <c r="J87" s="320"/>
      <c r="K87" s="320"/>
      <c r="L87" s="320"/>
      <c r="M87" s="320"/>
      <c r="N87" s="320"/>
      <c r="O87" s="320"/>
      <c r="P87" s="345"/>
    </row>
    <row r="88" spans="1:16" s="346" customFormat="1" ht="24">
      <c r="A88" s="106"/>
      <c r="B88" s="319" t="s">
        <v>1320</v>
      </c>
      <c r="C88" s="341"/>
      <c r="D88" s="342"/>
      <c r="E88" s="343"/>
      <c r="F88" s="344"/>
      <c r="G88" s="344"/>
      <c r="H88" s="320"/>
      <c r="I88" s="320"/>
      <c r="J88" s="320"/>
      <c r="K88" s="320"/>
      <c r="L88" s="320"/>
      <c r="M88" s="320"/>
      <c r="N88" s="320"/>
      <c r="O88" s="320"/>
      <c r="P88" s="345"/>
    </row>
    <row r="89" spans="1:16" s="346" customFormat="1" ht="14.25">
      <c r="A89" s="106">
        <v>70</v>
      </c>
      <c r="B89" s="350" t="s">
        <v>1314</v>
      </c>
      <c r="C89" s="347"/>
      <c r="D89" s="13" t="s">
        <v>29</v>
      </c>
      <c r="E89" s="351">
        <v>1</v>
      </c>
      <c r="F89" s="9"/>
      <c r="G89" s="33"/>
      <c r="H89" s="4"/>
      <c r="I89" s="129"/>
      <c r="J89" s="4"/>
      <c r="K89" s="337"/>
      <c r="L89" s="338"/>
      <c r="M89" s="338"/>
      <c r="N89" s="338"/>
      <c r="O89" s="338"/>
      <c r="P89" s="339"/>
    </row>
    <row r="90" spans="1:16" s="346" customFormat="1" ht="14.25">
      <c r="A90" s="106">
        <f t="shared" si="1"/>
        <v>71</v>
      </c>
      <c r="B90" s="350" t="s">
        <v>1315</v>
      </c>
      <c r="C90" s="347"/>
      <c r="D90" s="13" t="s">
        <v>29</v>
      </c>
      <c r="E90" s="351">
        <v>1</v>
      </c>
      <c r="F90" s="9"/>
      <c r="G90" s="33"/>
      <c r="H90" s="4"/>
      <c r="I90" s="129"/>
      <c r="J90" s="4"/>
      <c r="K90" s="337"/>
      <c r="L90" s="338"/>
      <c r="M90" s="338"/>
      <c r="N90" s="338"/>
      <c r="O90" s="338"/>
      <c r="P90" s="339"/>
    </row>
    <row r="91" spans="1:16" s="346" customFormat="1" ht="14.25">
      <c r="A91" s="106">
        <f t="shared" si="1"/>
        <v>72</v>
      </c>
      <c r="B91" s="350" t="s">
        <v>1316</v>
      </c>
      <c r="C91" s="347"/>
      <c r="D91" s="13" t="s">
        <v>1317</v>
      </c>
      <c r="E91" s="351">
        <v>1</v>
      </c>
      <c r="F91" s="352"/>
      <c r="G91" s="33"/>
      <c r="H91" s="4"/>
      <c r="I91" s="129"/>
      <c r="J91" s="4"/>
      <c r="K91" s="337"/>
      <c r="L91" s="338"/>
      <c r="M91" s="338"/>
      <c r="N91" s="338"/>
      <c r="O91" s="338"/>
      <c r="P91" s="339"/>
    </row>
    <row r="92" spans="1:16" s="346" customFormat="1" ht="24">
      <c r="A92" s="106"/>
      <c r="B92" s="319" t="s">
        <v>1321</v>
      </c>
      <c r="C92" s="341"/>
      <c r="D92" s="342"/>
      <c r="E92" s="343"/>
      <c r="F92" s="344"/>
      <c r="G92" s="344"/>
      <c r="H92" s="320"/>
      <c r="I92" s="320"/>
      <c r="J92" s="320"/>
      <c r="K92" s="320"/>
      <c r="L92" s="320"/>
      <c r="M92" s="320"/>
      <c r="N92" s="320"/>
      <c r="O92" s="320"/>
      <c r="P92" s="345"/>
    </row>
    <row r="93" spans="1:16" s="346" customFormat="1" ht="25.5">
      <c r="A93" s="106">
        <v>73</v>
      </c>
      <c r="B93" s="350" t="s">
        <v>1344</v>
      </c>
      <c r="C93" s="347"/>
      <c r="D93" s="13" t="s">
        <v>42</v>
      </c>
      <c r="E93" s="353">
        <v>16</v>
      </c>
      <c r="F93" s="352"/>
      <c r="G93" s="344"/>
      <c r="H93" s="320"/>
      <c r="I93" s="129"/>
      <c r="J93" s="4"/>
      <c r="K93" s="337"/>
      <c r="L93" s="338"/>
      <c r="M93" s="338"/>
      <c r="N93" s="338"/>
      <c r="O93" s="338"/>
      <c r="P93" s="339"/>
    </row>
    <row r="94" spans="1:16" s="346" customFormat="1" ht="14.25">
      <c r="A94" s="106"/>
      <c r="B94" s="319" t="s">
        <v>1331</v>
      </c>
      <c r="C94" s="341"/>
      <c r="D94" s="342"/>
      <c r="E94" s="343"/>
      <c r="F94" s="344"/>
      <c r="G94" s="344"/>
      <c r="H94" s="320"/>
      <c r="I94" s="320"/>
      <c r="J94" s="320"/>
      <c r="K94" s="320"/>
      <c r="L94" s="320"/>
      <c r="M94" s="320"/>
      <c r="N94" s="320"/>
      <c r="O94" s="320"/>
      <c r="P94" s="345"/>
    </row>
    <row r="95" spans="1:16" s="346" customFormat="1" ht="36">
      <c r="A95" s="106">
        <v>74</v>
      </c>
      <c r="B95" s="350" t="s">
        <v>1322</v>
      </c>
      <c r="C95" s="347"/>
      <c r="D95" s="13" t="s">
        <v>29</v>
      </c>
      <c r="E95" s="351">
        <v>2</v>
      </c>
      <c r="F95" s="352"/>
      <c r="G95" s="344"/>
      <c r="H95" s="320"/>
      <c r="I95" s="320"/>
      <c r="J95" s="4"/>
      <c r="K95" s="337"/>
      <c r="L95" s="338"/>
      <c r="M95" s="338"/>
      <c r="N95" s="338"/>
      <c r="O95" s="338"/>
      <c r="P95" s="339"/>
    </row>
    <row r="96" spans="1:16" s="357" customFormat="1" ht="12.75">
      <c r="A96" s="106">
        <f t="shared" si="1"/>
        <v>75</v>
      </c>
      <c r="B96" s="358" t="s">
        <v>1260</v>
      </c>
      <c r="C96" s="348"/>
      <c r="D96" s="356" t="s">
        <v>14</v>
      </c>
      <c r="E96" s="354">
        <v>10</v>
      </c>
      <c r="F96" s="33"/>
      <c r="G96" s="33"/>
      <c r="H96" s="4"/>
      <c r="I96" s="4"/>
      <c r="J96" s="4"/>
      <c r="K96" s="337"/>
      <c r="L96" s="338"/>
      <c r="M96" s="338"/>
      <c r="N96" s="338"/>
      <c r="O96" s="338"/>
      <c r="P96" s="339"/>
    </row>
    <row r="97" spans="1:17" s="346" customFormat="1" ht="14.25">
      <c r="A97" s="106">
        <f t="shared" si="1"/>
        <v>76</v>
      </c>
      <c r="B97" s="350" t="s">
        <v>1323</v>
      </c>
      <c r="C97" s="347"/>
      <c r="D97" s="13" t="s">
        <v>42</v>
      </c>
      <c r="E97" s="353">
        <v>1</v>
      </c>
      <c r="F97" s="33"/>
      <c r="G97" s="33"/>
      <c r="H97" s="4"/>
      <c r="I97" s="320"/>
      <c r="J97" s="4"/>
      <c r="K97" s="337"/>
      <c r="L97" s="338"/>
      <c r="M97" s="338"/>
      <c r="N97" s="338"/>
      <c r="O97" s="338"/>
      <c r="P97" s="339"/>
    </row>
    <row r="98" spans="1:17" s="346" customFormat="1" ht="24">
      <c r="A98" s="106"/>
      <c r="B98" s="319" t="s">
        <v>1332</v>
      </c>
      <c r="C98" s="341"/>
      <c r="D98" s="342"/>
      <c r="E98" s="343"/>
      <c r="F98" s="344"/>
      <c r="G98" s="344"/>
      <c r="H98" s="320"/>
      <c r="I98" s="320"/>
      <c r="J98" s="320"/>
      <c r="K98" s="320"/>
      <c r="L98" s="320"/>
      <c r="M98" s="320"/>
      <c r="N98" s="320"/>
      <c r="O98" s="320"/>
      <c r="P98" s="345"/>
    </row>
    <row r="99" spans="1:17" s="346" customFormat="1" ht="14.25">
      <c r="A99" s="106">
        <v>77</v>
      </c>
      <c r="B99" s="350" t="s">
        <v>285</v>
      </c>
      <c r="C99" s="347"/>
      <c r="D99" s="13" t="s">
        <v>42</v>
      </c>
      <c r="E99" s="353">
        <v>18</v>
      </c>
      <c r="F99" s="352"/>
      <c r="G99" s="33"/>
      <c r="H99" s="4"/>
      <c r="I99" s="4"/>
      <c r="J99" s="4"/>
      <c r="K99" s="337"/>
      <c r="L99" s="338"/>
      <c r="M99" s="338"/>
      <c r="N99" s="338"/>
      <c r="O99" s="338"/>
      <c r="P99" s="339"/>
    </row>
    <row r="100" spans="1:17" s="346" customFormat="1" ht="24">
      <c r="A100" s="106">
        <f t="shared" si="1"/>
        <v>78</v>
      </c>
      <c r="B100" s="350" t="s">
        <v>1324</v>
      </c>
      <c r="C100" s="347"/>
      <c r="D100" s="13" t="s">
        <v>42</v>
      </c>
      <c r="E100" s="353">
        <v>18</v>
      </c>
      <c r="F100" s="33"/>
      <c r="G100" s="33"/>
      <c r="H100" s="4"/>
      <c r="I100" s="4"/>
      <c r="J100" s="4"/>
      <c r="K100" s="337"/>
      <c r="L100" s="338"/>
      <c r="M100" s="338"/>
      <c r="N100" s="338"/>
      <c r="O100" s="338"/>
      <c r="P100" s="339"/>
    </row>
    <row r="101" spans="1:17" s="346" customFormat="1" ht="14.25">
      <c r="A101" s="106"/>
      <c r="B101" s="319" t="s">
        <v>1325</v>
      </c>
      <c r="C101" s="341"/>
      <c r="D101" s="342"/>
      <c r="E101" s="343"/>
      <c r="F101" s="344"/>
      <c r="G101" s="344"/>
      <c r="H101" s="320"/>
      <c r="I101" s="320"/>
      <c r="J101" s="320"/>
      <c r="K101" s="320"/>
      <c r="L101" s="320"/>
      <c r="M101" s="320"/>
      <c r="N101" s="320"/>
      <c r="O101" s="320"/>
      <c r="P101" s="345"/>
    </row>
    <row r="102" spans="1:17" s="346" customFormat="1" ht="14.25">
      <c r="A102" s="106">
        <v>79</v>
      </c>
      <c r="B102" s="350" t="s">
        <v>1326</v>
      </c>
      <c r="C102" s="347"/>
      <c r="D102" s="13" t="s">
        <v>42</v>
      </c>
      <c r="E102" s="353">
        <v>27</v>
      </c>
      <c r="F102" s="352"/>
      <c r="G102" s="344"/>
      <c r="H102" s="320"/>
      <c r="I102" s="129"/>
      <c r="J102" s="4"/>
      <c r="K102" s="337"/>
      <c r="L102" s="338"/>
      <c r="M102" s="338"/>
      <c r="N102" s="338"/>
      <c r="O102" s="338"/>
      <c r="P102" s="339"/>
    </row>
    <row r="103" spans="1:17" s="346" customFormat="1" ht="14.25">
      <c r="A103" s="106">
        <f t="shared" si="1"/>
        <v>80</v>
      </c>
      <c r="B103" s="350" t="s">
        <v>1327</v>
      </c>
      <c r="C103" s="347"/>
      <c r="D103" s="13" t="s">
        <v>42</v>
      </c>
      <c r="E103" s="353">
        <v>27</v>
      </c>
      <c r="F103" s="352"/>
      <c r="G103" s="344"/>
      <c r="H103" s="320"/>
      <c r="I103" s="129"/>
      <c r="J103" s="4"/>
      <c r="K103" s="337"/>
      <c r="L103" s="338"/>
      <c r="M103" s="338"/>
      <c r="N103" s="338"/>
      <c r="O103" s="338"/>
      <c r="P103" s="339"/>
    </row>
    <row r="104" spans="1:17" s="346" customFormat="1" ht="24">
      <c r="A104" s="106">
        <f t="shared" si="1"/>
        <v>81</v>
      </c>
      <c r="B104" s="350" t="s">
        <v>1328</v>
      </c>
      <c r="C104" s="347"/>
      <c r="D104" s="342" t="s">
        <v>1313</v>
      </c>
      <c r="E104" s="351">
        <v>1</v>
      </c>
      <c r="F104" s="352"/>
      <c r="G104" s="344"/>
      <c r="H104" s="320"/>
      <c r="I104" s="320"/>
      <c r="J104" s="4"/>
      <c r="K104" s="337"/>
      <c r="L104" s="338"/>
      <c r="M104" s="338"/>
      <c r="N104" s="338"/>
      <c r="O104" s="338"/>
      <c r="P104" s="339"/>
    </row>
    <row r="105" spans="1:17" s="346" customFormat="1" ht="24">
      <c r="A105" s="106">
        <f t="shared" si="1"/>
        <v>82</v>
      </c>
      <c r="B105" s="350" t="s">
        <v>1329</v>
      </c>
      <c r="C105" s="347"/>
      <c r="D105" s="342" t="s">
        <v>284</v>
      </c>
      <c r="E105" s="351">
        <v>1</v>
      </c>
      <c r="F105" s="355"/>
      <c r="G105" s="344"/>
      <c r="H105" s="320"/>
      <c r="I105" s="320"/>
      <c r="J105" s="4"/>
      <c r="K105" s="337"/>
      <c r="L105" s="338"/>
      <c r="M105" s="338"/>
      <c r="N105" s="338"/>
      <c r="O105" s="338"/>
      <c r="P105" s="339"/>
    </row>
    <row r="106" spans="1:17" s="346" customFormat="1" ht="14.25">
      <c r="A106" s="106">
        <f t="shared" si="1"/>
        <v>83</v>
      </c>
      <c r="B106" s="350" t="s">
        <v>1330</v>
      </c>
      <c r="C106" s="347"/>
      <c r="D106" s="342" t="s">
        <v>284</v>
      </c>
      <c r="E106" s="351">
        <v>1</v>
      </c>
      <c r="F106" s="355"/>
      <c r="G106" s="344"/>
      <c r="H106" s="320"/>
      <c r="I106" s="320"/>
      <c r="J106" s="4"/>
      <c r="K106" s="337"/>
      <c r="L106" s="338"/>
      <c r="M106" s="338"/>
      <c r="N106" s="338"/>
      <c r="O106" s="338"/>
      <c r="P106" s="339"/>
    </row>
    <row r="107" spans="1:17" s="346" customFormat="1" ht="15" thickBot="1">
      <c r="A107" s="106">
        <f t="shared" si="1"/>
        <v>84</v>
      </c>
      <c r="B107" s="350" t="s">
        <v>206</v>
      </c>
      <c r="C107" s="347"/>
      <c r="D107" s="342" t="s">
        <v>284</v>
      </c>
      <c r="E107" s="351">
        <v>1</v>
      </c>
      <c r="F107" s="355"/>
      <c r="G107" s="344"/>
      <c r="H107" s="320"/>
      <c r="I107" s="320"/>
      <c r="J107" s="4"/>
      <c r="K107" s="337"/>
      <c r="L107" s="338"/>
      <c r="M107" s="338"/>
      <c r="N107" s="338"/>
      <c r="O107" s="338"/>
      <c r="P107" s="339"/>
    </row>
    <row r="108" spans="1:17" s="102" customFormat="1" ht="15.75" thickTop="1" thickBot="1">
      <c r="A108" s="181"/>
      <c r="B108" s="400" t="s">
        <v>1587</v>
      </c>
      <c r="C108" s="401"/>
      <c r="D108" s="401"/>
      <c r="E108" s="401"/>
      <c r="F108" s="401"/>
      <c r="G108" s="401"/>
      <c r="H108" s="401"/>
      <c r="I108" s="401"/>
      <c r="J108" s="401"/>
      <c r="K108" s="402"/>
      <c r="L108" s="182"/>
      <c r="M108" s="182"/>
      <c r="N108" s="182"/>
      <c r="O108" s="182"/>
      <c r="P108" s="183"/>
      <c r="Q108" s="25"/>
    </row>
    <row r="109" spans="1:17" s="102" customFormat="1" ht="15" thickTop="1">
      <c r="A109" s="27"/>
      <c r="B109" s="3"/>
      <c r="C109" s="3"/>
      <c r="D109" s="27"/>
      <c r="E109" s="27"/>
      <c r="F109" s="27"/>
      <c r="G109" s="27"/>
      <c r="H109" s="27"/>
      <c r="I109" s="27"/>
      <c r="J109" s="27"/>
      <c r="K109" s="27"/>
      <c r="L109" s="27"/>
      <c r="M109" s="27"/>
      <c r="N109" s="27"/>
      <c r="O109" s="27"/>
      <c r="P109" s="27"/>
      <c r="Q109" s="25"/>
    </row>
    <row r="110" spans="1:17" s="102" customFormat="1" ht="14.25">
      <c r="A110" s="27"/>
      <c r="B110" s="331"/>
      <c r="C110" s="331"/>
      <c r="D110" s="27"/>
      <c r="E110" s="27"/>
      <c r="F110" s="27"/>
      <c r="G110" s="27"/>
      <c r="H110" s="27"/>
      <c r="I110" s="27"/>
      <c r="J110" s="27"/>
      <c r="K110" s="27"/>
      <c r="L110" s="27"/>
      <c r="M110" s="27"/>
      <c r="N110" s="27"/>
      <c r="O110" s="27"/>
      <c r="P110" s="27"/>
      <c r="Q110" s="25"/>
    </row>
    <row r="111" spans="1:17" s="27" customFormat="1" ht="14.25">
      <c r="A111" s="117"/>
      <c r="B111" s="172" t="s">
        <v>209</v>
      </c>
      <c r="C111" s="172"/>
      <c r="D111" s="117"/>
      <c r="E111" s="117"/>
      <c r="F111" s="117"/>
      <c r="G111" s="117"/>
      <c r="H111" s="117"/>
      <c r="I111" s="117"/>
      <c r="J111" s="102"/>
      <c r="K111" s="102"/>
      <c r="L111" s="102"/>
      <c r="M111" s="102"/>
      <c r="N111" s="102"/>
      <c r="O111" s="102"/>
      <c r="P111" s="102"/>
      <c r="Q111" s="26"/>
    </row>
    <row r="112" spans="1:17" s="27" customFormat="1" ht="14.25">
      <c r="A112" s="117"/>
      <c r="B112" s="172"/>
      <c r="C112" s="172"/>
      <c r="D112" s="117"/>
      <c r="E112" s="117"/>
      <c r="F112" s="117"/>
      <c r="G112" s="117"/>
      <c r="H112" s="117"/>
      <c r="I112" s="117"/>
      <c r="J112" s="102"/>
      <c r="K112" s="102"/>
      <c r="L112" s="102"/>
      <c r="M112" s="102"/>
      <c r="N112" s="102"/>
      <c r="O112" s="102"/>
      <c r="P112" s="102"/>
      <c r="Q112" s="26"/>
    </row>
    <row r="113" spans="1:17" s="102" customFormat="1" ht="14.25">
      <c r="A113" s="27"/>
      <c r="B113" s="92">
        <f ca="1">TODAY()</f>
        <v>43206</v>
      </c>
      <c r="C113" s="92"/>
      <c r="D113" s="144"/>
      <c r="E113" s="27"/>
      <c r="F113" s="27"/>
      <c r="G113" s="27"/>
      <c r="H113" s="27"/>
      <c r="I113" s="27"/>
      <c r="J113" s="27"/>
      <c r="K113" s="27"/>
      <c r="L113" s="27"/>
      <c r="M113" s="27"/>
      <c r="N113" s="27"/>
      <c r="O113" s="27"/>
      <c r="P113" s="27"/>
      <c r="Q113" s="25"/>
    </row>
    <row r="114" spans="1:17" s="102" customFormat="1" ht="14.25">
      <c r="A114" s="220"/>
      <c r="B114" s="220" t="s">
        <v>1350</v>
      </c>
      <c r="C114" s="220"/>
      <c r="D114" s="220"/>
      <c r="E114" s="220"/>
      <c r="F114" s="220"/>
      <c r="G114" s="220"/>
      <c r="H114" s="220"/>
      <c r="I114" s="220"/>
      <c r="J114" s="220"/>
      <c r="K114" s="220"/>
      <c r="L114" s="220"/>
      <c r="M114" s="220"/>
      <c r="N114" s="220"/>
      <c r="O114" s="220"/>
      <c r="P114" s="220"/>
      <c r="Q114" s="25"/>
    </row>
    <row r="115" spans="1:17" s="27" customFormat="1" ht="14.25">
      <c r="A115" s="220"/>
      <c r="B115" s="359" t="s">
        <v>1349</v>
      </c>
      <c r="C115" s="220"/>
      <c r="D115" s="220"/>
      <c r="E115" s="220"/>
      <c r="F115" s="220"/>
      <c r="G115" s="220"/>
      <c r="H115" s="220"/>
      <c r="I115" s="220"/>
      <c r="J115" s="220"/>
      <c r="K115" s="220"/>
      <c r="L115" s="220"/>
      <c r="M115" s="220"/>
      <c r="N115" s="220"/>
      <c r="O115" s="220"/>
      <c r="P115" s="220"/>
      <c r="Q115" s="26"/>
    </row>
    <row r="116" spans="1:17">
      <c r="B116" s="220" t="s">
        <v>1351</v>
      </c>
    </row>
    <row r="117" spans="1:17">
      <c r="B117" s="220" t="s">
        <v>1352</v>
      </c>
    </row>
    <row r="118" spans="1:17">
      <c r="B118" s="220" t="s">
        <v>1353</v>
      </c>
    </row>
    <row r="119" spans="1:17">
      <c r="B119" s="220" t="s">
        <v>1354</v>
      </c>
    </row>
    <row r="120" spans="1:17">
      <c r="B120" s="220" t="s">
        <v>1355</v>
      </c>
    </row>
  </sheetData>
  <mergeCells count="23">
    <mergeCell ref="B108:K108"/>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 ref="N8:N11"/>
    <mergeCell ref="I8:I11"/>
    <mergeCell ref="J8:J11"/>
    <mergeCell ref="K8:K11"/>
    <mergeCell ref="L8:L11"/>
    <mergeCell ref="M8:M11"/>
  </mergeCells>
  <printOptions horizontalCentered="1"/>
  <pageMargins left="0.11811023622047245" right="0.11811023622047245" top="0.78740157480314965" bottom="0.59055118110236227" header="0.31496062992125984" footer="0.31496062992125984"/>
  <pageSetup scale="85" orientation="landscape" r:id="rId1"/>
  <headerFooter>
    <oddFooter>&amp;C&amp;8Page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178"/>
  <sheetViews>
    <sheetView zoomScaleNormal="100" workbookViewId="0">
      <selection activeCell="B40" sqref="B40"/>
    </sheetView>
  </sheetViews>
  <sheetFormatPr defaultColWidth="9.140625" defaultRowHeight="12.75"/>
  <cols>
    <col min="1" max="1" width="6.5703125" style="117" customWidth="1"/>
    <col min="2" max="2" width="36.28515625" style="117" customWidth="1"/>
    <col min="3" max="3" width="6.7109375" style="117" customWidth="1"/>
    <col min="4" max="4" width="8.42578125" style="117" customWidth="1"/>
    <col min="5" max="10" width="9" style="117" customWidth="1"/>
    <col min="11" max="11" width="9.28515625" style="117" customWidth="1"/>
    <col min="12" max="12" width="9.7109375" style="117" customWidth="1"/>
    <col min="13" max="13" width="10.7109375" style="117" customWidth="1"/>
    <col min="14" max="14" width="9.7109375" style="117" customWidth="1"/>
    <col min="15" max="15" width="12" style="117" customWidth="1"/>
    <col min="16" max="16" width="11.7109375" style="117" bestFit="1" customWidth="1"/>
    <col min="17" max="17" width="11.7109375" style="178" bestFit="1" customWidth="1"/>
    <col min="18" max="16384" width="9.140625" style="117"/>
  </cols>
  <sheetData>
    <row r="1" spans="1:21" s="102" customFormat="1" ht="14.25">
      <c r="A1" s="396" t="s">
        <v>1178</v>
      </c>
      <c r="B1" s="396"/>
      <c r="C1" s="396"/>
      <c r="D1" s="396"/>
      <c r="E1" s="396"/>
      <c r="F1" s="396"/>
      <c r="G1" s="396"/>
      <c r="H1" s="396"/>
      <c r="I1" s="396"/>
      <c r="J1" s="396"/>
      <c r="K1" s="396"/>
      <c r="L1" s="396"/>
      <c r="M1" s="396"/>
      <c r="N1" s="396"/>
      <c r="O1" s="396"/>
      <c r="Q1" s="176"/>
    </row>
    <row r="2" spans="1:21" s="102" customFormat="1" ht="14.25">
      <c r="A2" s="397" t="str">
        <f>Kopsavilkums!C41</f>
        <v>Labiekārtošana</v>
      </c>
      <c r="B2" s="397"/>
      <c r="C2" s="397"/>
      <c r="D2" s="397"/>
      <c r="E2" s="397"/>
      <c r="F2" s="397"/>
      <c r="G2" s="397"/>
      <c r="H2" s="397"/>
      <c r="I2" s="397"/>
      <c r="J2" s="397"/>
      <c r="K2" s="397"/>
      <c r="L2" s="397"/>
      <c r="M2" s="397"/>
      <c r="N2" s="397"/>
      <c r="O2" s="397"/>
      <c r="Q2" s="176"/>
    </row>
    <row r="3" spans="1:21" s="102" customFormat="1" ht="14.25">
      <c r="A3" s="115" t="s">
        <v>1246</v>
      </c>
      <c r="B3" s="177"/>
      <c r="C3" s="177"/>
      <c r="D3" s="177"/>
      <c r="E3" s="177"/>
      <c r="F3" s="177"/>
      <c r="G3" s="177"/>
      <c r="H3" s="177"/>
      <c r="I3" s="177"/>
      <c r="J3" s="177"/>
      <c r="K3" s="177"/>
      <c r="L3" s="177"/>
      <c r="M3" s="177"/>
      <c r="N3" s="177"/>
      <c r="O3" s="177"/>
      <c r="Q3" s="176"/>
    </row>
    <row r="4" spans="1:21" s="102" customFormat="1" ht="14.25">
      <c r="A4" s="115" t="s">
        <v>307</v>
      </c>
      <c r="B4" s="177"/>
      <c r="C4" s="177"/>
      <c r="D4" s="177"/>
      <c r="E4" s="177"/>
      <c r="F4" s="177"/>
      <c r="G4" s="177"/>
      <c r="H4" s="177"/>
      <c r="I4" s="177"/>
      <c r="J4" s="177"/>
      <c r="K4" s="177"/>
      <c r="L4" s="177"/>
      <c r="M4" s="177"/>
      <c r="N4" s="177"/>
      <c r="O4" s="177"/>
      <c r="Q4" s="176"/>
    </row>
    <row r="5" spans="1:21" s="102" customFormat="1" ht="14.25">
      <c r="A5" s="115" t="s">
        <v>306</v>
      </c>
      <c r="B5" s="177"/>
      <c r="C5" s="177"/>
      <c r="D5" s="177"/>
      <c r="E5" s="177"/>
      <c r="F5" s="177"/>
      <c r="G5" s="177"/>
      <c r="H5" s="177"/>
      <c r="I5" s="177"/>
      <c r="J5" s="177"/>
      <c r="K5" s="177"/>
      <c r="L5" s="177"/>
      <c r="M5" s="177"/>
      <c r="N5" s="177"/>
      <c r="O5" s="177"/>
      <c r="Q5" s="176"/>
    </row>
    <row r="6" spans="1:21" ht="13.5" thickBot="1">
      <c r="E6" s="133"/>
      <c r="F6" s="133"/>
      <c r="G6" s="133"/>
      <c r="H6" s="133"/>
      <c r="I6" s="133"/>
      <c r="J6" s="398" t="s">
        <v>13</v>
      </c>
      <c r="K6" s="398"/>
      <c r="L6" s="398"/>
      <c r="M6" s="398"/>
      <c r="N6" s="404" t="e">
        <f>#REF!</f>
        <v>#REF!</v>
      </c>
      <c r="O6" s="404"/>
    </row>
    <row r="7" spans="1:21" s="133" customFormat="1" ht="12.75" customHeight="1">
      <c r="A7" s="378" t="s">
        <v>27</v>
      </c>
      <c r="B7" s="428" t="s">
        <v>28</v>
      </c>
      <c r="C7" s="428" t="s">
        <v>17</v>
      </c>
      <c r="D7" s="428" t="s">
        <v>19</v>
      </c>
      <c r="E7" s="390" t="s">
        <v>15</v>
      </c>
      <c r="F7" s="391"/>
      <c r="G7" s="391"/>
      <c r="H7" s="391"/>
      <c r="I7" s="391"/>
      <c r="J7" s="429"/>
      <c r="K7" s="390" t="s">
        <v>16</v>
      </c>
      <c r="L7" s="391"/>
      <c r="M7" s="391"/>
      <c r="N7" s="391"/>
      <c r="O7" s="393"/>
      <c r="Q7" s="179"/>
    </row>
    <row r="8" spans="1:21"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c r="Q8" s="179"/>
    </row>
    <row r="9" spans="1:21" s="133" customFormat="1">
      <c r="A9" s="379"/>
      <c r="B9" s="382"/>
      <c r="C9" s="382"/>
      <c r="D9" s="382"/>
      <c r="E9" s="394"/>
      <c r="F9" s="376"/>
      <c r="G9" s="376"/>
      <c r="H9" s="376"/>
      <c r="I9" s="376"/>
      <c r="J9" s="373"/>
      <c r="K9" s="376"/>
      <c r="L9" s="376"/>
      <c r="M9" s="376"/>
      <c r="N9" s="376"/>
      <c r="O9" s="385"/>
      <c r="Q9" s="179"/>
    </row>
    <row r="10" spans="1:21" s="133" customFormat="1" ht="13.5" thickBot="1">
      <c r="A10" s="380"/>
      <c r="B10" s="383"/>
      <c r="C10" s="383"/>
      <c r="D10" s="383"/>
      <c r="E10" s="395"/>
      <c r="F10" s="377"/>
      <c r="G10" s="377"/>
      <c r="H10" s="377"/>
      <c r="I10" s="377"/>
      <c r="J10" s="374"/>
      <c r="K10" s="377"/>
      <c r="L10" s="377"/>
      <c r="M10" s="377"/>
      <c r="N10" s="377"/>
      <c r="O10" s="386"/>
      <c r="Q10" s="179"/>
    </row>
    <row r="11" spans="1:21" s="133" customFormat="1" ht="14.25" thickTop="1" thickBot="1">
      <c r="A11" s="52">
        <v>1</v>
      </c>
      <c r="B11" s="53">
        <v>2</v>
      </c>
      <c r="C11" s="53">
        <v>3</v>
      </c>
      <c r="D11" s="53">
        <v>4</v>
      </c>
      <c r="E11" s="53">
        <v>5</v>
      </c>
      <c r="F11" s="53">
        <v>6</v>
      </c>
      <c r="G11" s="53">
        <v>7</v>
      </c>
      <c r="H11" s="53">
        <v>8</v>
      </c>
      <c r="I11" s="53">
        <v>9</v>
      </c>
      <c r="J11" s="54">
        <v>10</v>
      </c>
      <c r="K11" s="53">
        <v>11</v>
      </c>
      <c r="L11" s="54">
        <v>12</v>
      </c>
      <c r="M11" s="53">
        <v>13</v>
      </c>
      <c r="N11" s="54">
        <v>14</v>
      </c>
      <c r="O11" s="55">
        <v>15</v>
      </c>
      <c r="Q11" s="179"/>
    </row>
    <row r="12" spans="1:21" s="25" customFormat="1" ht="15" thickTop="1">
      <c r="A12" s="106"/>
      <c r="B12" s="236" t="s">
        <v>294</v>
      </c>
      <c r="C12" s="13" t="s">
        <v>174</v>
      </c>
      <c r="D12" s="9" t="s">
        <v>174</v>
      </c>
      <c r="E12" s="33"/>
      <c r="F12" s="33"/>
      <c r="G12" s="4"/>
      <c r="H12" s="4"/>
      <c r="I12" s="4"/>
      <c r="J12" s="4"/>
      <c r="K12" s="4"/>
      <c r="L12" s="4"/>
      <c r="M12" s="4"/>
      <c r="N12" s="4"/>
      <c r="O12" s="20"/>
      <c r="P12" s="117"/>
      <c r="Q12" s="117"/>
    </row>
    <row r="13" spans="1:21" s="198" customFormat="1" ht="24">
      <c r="A13" s="106">
        <f t="shared" ref="A13:A71" si="0">A12+1</f>
        <v>1</v>
      </c>
      <c r="B13" s="2" t="s">
        <v>876</v>
      </c>
      <c r="C13" s="13" t="s">
        <v>284</v>
      </c>
      <c r="D13" s="10">
        <v>1</v>
      </c>
      <c r="E13" s="4"/>
      <c r="F13" s="33"/>
      <c r="G13" s="4"/>
      <c r="H13" s="4"/>
      <c r="I13" s="4"/>
      <c r="J13" s="337"/>
      <c r="K13" s="338"/>
      <c r="L13" s="338"/>
      <c r="M13" s="338"/>
      <c r="N13" s="338"/>
      <c r="O13" s="339"/>
    </row>
    <row r="14" spans="1:21" s="25" customFormat="1" ht="14.25">
      <c r="A14" s="106"/>
      <c r="B14" s="180" t="s">
        <v>877</v>
      </c>
      <c r="C14" s="13"/>
      <c r="D14" s="9"/>
      <c r="E14" s="33"/>
      <c r="F14" s="33"/>
      <c r="G14" s="4"/>
      <c r="H14" s="4"/>
      <c r="I14" s="4"/>
      <c r="J14" s="4"/>
      <c r="K14" s="4"/>
      <c r="L14" s="4"/>
      <c r="M14" s="4"/>
      <c r="N14" s="4"/>
      <c r="O14" s="20"/>
      <c r="P14" s="117"/>
      <c r="Q14" s="117"/>
    </row>
    <row r="15" spans="1:21" ht="14.25">
      <c r="A15" s="106">
        <v>2</v>
      </c>
      <c r="B15" s="225" t="s">
        <v>1083</v>
      </c>
      <c r="C15" s="13" t="s">
        <v>42</v>
      </c>
      <c r="D15" s="14">
        <v>6.5</v>
      </c>
      <c r="E15" s="107"/>
      <c r="F15" s="33"/>
      <c r="G15" s="4"/>
      <c r="H15" s="108"/>
      <c r="I15" s="4"/>
      <c r="J15" s="337"/>
      <c r="K15" s="338"/>
      <c r="L15" s="338"/>
      <c r="M15" s="338"/>
      <c r="N15" s="338"/>
      <c r="O15" s="339"/>
      <c r="P15" s="195"/>
      <c r="Q15" s="195"/>
      <c r="R15" s="196"/>
      <c r="S15" s="196"/>
      <c r="T15" s="196"/>
      <c r="U15" s="196"/>
    </row>
    <row r="16" spans="1:21" ht="14.25">
      <c r="A16" s="106">
        <f t="shared" si="0"/>
        <v>3</v>
      </c>
      <c r="B16" s="225" t="s">
        <v>878</v>
      </c>
      <c r="C16" s="13" t="s">
        <v>42</v>
      </c>
      <c r="D16" s="14">
        <v>5.5</v>
      </c>
      <c r="E16" s="33"/>
      <c r="F16" s="33"/>
      <c r="G16" s="4"/>
      <c r="H16" s="4"/>
      <c r="I16" s="4"/>
      <c r="J16" s="337"/>
      <c r="K16" s="338"/>
      <c r="L16" s="338"/>
      <c r="M16" s="338"/>
      <c r="N16" s="338"/>
      <c r="O16" s="339"/>
      <c r="P16" s="195"/>
      <c r="Q16" s="195"/>
      <c r="R16" s="196"/>
      <c r="S16" s="196"/>
      <c r="T16" s="196"/>
      <c r="U16" s="196"/>
    </row>
    <row r="17" spans="1:53" ht="24">
      <c r="A17" s="106">
        <f t="shared" si="0"/>
        <v>4</v>
      </c>
      <c r="B17" s="225" t="s">
        <v>879</v>
      </c>
      <c r="C17" s="116" t="s">
        <v>14</v>
      </c>
      <c r="D17" s="9">
        <v>31.5</v>
      </c>
      <c r="E17" s="107"/>
      <c r="F17" s="33"/>
      <c r="G17" s="4"/>
      <c r="H17" s="108"/>
      <c r="I17" s="4"/>
      <c r="J17" s="337"/>
      <c r="K17" s="338"/>
      <c r="L17" s="338"/>
      <c r="M17" s="338"/>
      <c r="N17" s="338"/>
      <c r="O17" s="339"/>
      <c r="P17" s="195"/>
      <c r="Q17" s="195"/>
      <c r="R17" s="196"/>
      <c r="S17" s="196"/>
      <c r="T17" s="196"/>
      <c r="U17" s="196"/>
    </row>
    <row r="18" spans="1:53" ht="24">
      <c r="A18" s="106">
        <f t="shared" si="0"/>
        <v>5</v>
      </c>
      <c r="B18" s="225" t="s">
        <v>1081</v>
      </c>
      <c r="C18" s="116" t="s">
        <v>1082</v>
      </c>
      <c r="D18" s="9">
        <f>ROUND(25082*0.26/100,2)</f>
        <v>65.209999999999994</v>
      </c>
      <c r="E18" s="33"/>
      <c r="F18" s="33"/>
      <c r="G18" s="4"/>
      <c r="H18" s="34"/>
      <c r="I18" s="4"/>
      <c r="J18" s="337"/>
      <c r="K18" s="338"/>
      <c r="L18" s="338"/>
      <c r="M18" s="338"/>
      <c r="N18" s="338"/>
      <c r="O18" s="339"/>
      <c r="P18" s="195"/>
      <c r="Q18" s="195"/>
      <c r="R18" s="196"/>
      <c r="S18" s="196"/>
      <c r="T18" s="196"/>
      <c r="U18" s="196"/>
    </row>
    <row r="19" spans="1:53" ht="14.25">
      <c r="A19" s="106">
        <f t="shared" si="0"/>
        <v>6</v>
      </c>
      <c r="B19" s="225" t="s">
        <v>880</v>
      </c>
      <c r="C19" s="116" t="s">
        <v>14</v>
      </c>
      <c r="D19" s="9">
        <v>1018.6000000000001</v>
      </c>
      <c r="E19" s="107"/>
      <c r="F19" s="33"/>
      <c r="G19" s="4"/>
      <c r="H19" s="108"/>
      <c r="I19" s="4"/>
      <c r="J19" s="337"/>
      <c r="K19" s="338"/>
      <c r="L19" s="338"/>
      <c r="M19" s="338"/>
      <c r="N19" s="338"/>
      <c r="O19" s="339"/>
      <c r="P19" s="195"/>
      <c r="Q19" s="195"/>
      <c r="R19" s="196"/>
      <c r="S19" s="196"/>
      <c r="T19" s="196"/>
      <c r="U19" s="196"/>
    </row>
    <row r="20" spans="1:53" ht="14.25">
      <c r="A20" s="106">
        <f t="shared" si="0"/>
        <v>7</v>
      </c>
      <c r="B20" s="225" t="s">
        <v>881</v>
      </c>
      <c r="C20" s="116" t="s">
        <v>14</v>
      </c>
      <c r="D20" s="14">
        <v>11066</v>
      </c>
      <c r="E20" s="107"/>
      <c r="F20" s="33"/>
      <c r="G20" s="4"/>
      <c r="H20" s="108"/>
      <c r="I20" s="4"/>
      <c r="J20" s="337"/>
      <c r="K20" s="338"/>
      <c r="L20" s="338"/>
      <c r="M20" s="338"/>
      <c r="N20" s="338"/>
      <c r="O20" s="339"/>
      <c r="P20" s="195"/>
      <c r="Q20" s="195"/>
      <c r="R20" s="196"/>
      <c r="S20" s="196"/>
      <c r="T20" s="196"/>
      <c r="U20" s="196"/>
    </row>
    <row r="21" spans="1:53" s="198" customFormat="1" ht="24">
      <c r="A21" s="106">
        <f t="shared" si="0"/>
        <v>8</v>
      </c>
      <c r="B21" s="2" t="s">
        <v>882</v>
      </c>
      <c r="C21" s="13" t="s">
        <v>29</v>
      </c>
      <c r="D21" s="10">
        <v>34</v>
      </c>
      <c r="E21" s="132"/>
      <c r="F21" s="33"/>
      <c r="G21" s="4"/>
      <c r="H21" s="4"/>
      <c r="I21" s="4"/>
      <c r="J21" s="337"/>
      <c r="K21" s="338"/>
      <c r="L21" s="338"/>
      <c r="M21" s="338"/>
      <c r="N21" s="338"/>
      <c r="O21" s="339"/>
    </row>
    <row r="22" spans="1:53" s="198" customFormat="1">
      <c r="A22" s="106">
        <f t="shared" si="0"/>
        <v>9</v>
      </c>
      <c r="B22" s="49" t="s">
        <v>1084</v>
      </c>
      <c r="C22" s="13" t="s">
        <v>29</v>
      </c>
      <c r="D22" s="10">
        <f>D21</f>
        <v>34</v>
      </c>
      <c r="E22" s="132"/>
      <c r="F22" s="33"/>
      <c r="G22" s="4"/>
      <c r="H22" s="4"/>
      <c r="I22" s="4"/>
      <c r="J22" s="337"/>
      <c r="K22" s="338"/>
      <c r="L22" s="338"/>
      <c r="M22" s="338"/>
      <c r="N22" s="338"/>
      <c r="O22" s="339"/>
      <c r="R22" s="149"/>
      <c r="S22" s="315"/>
    </row>
    <row r="23" spans="1:53" s="198" customFormat="1" ht="24">
      <c r="A23" s="106">
        <f t="shared" si="0"/>
        <v>10</v>
      </c>
      <c r="B23" s="2" t="s">
        <v>1085</v>
      </c>
      <c r="C23" s="13" t="s">
        <v>26</v>
      </c>
      <c r="D23" s="14">
        <v>14</v>
      </c>
      <c r="E23" s="132"/>
      <c r="F23" s="33"/>
      <c r="G23" s="4"/>
      <c r="H23" s="4"/>
      <c r="I23" s="4"/>
      <c r="J23" s="337"/>
      <c r="K23" s="338"/>
      <c r="L23" s="338"/>
      <c r="M23" s="338"/>
      <c r="N23" s="338"/>
      <c r="O23" s="339"/>
      <c r="R23" s="149"/>
      <c r="S23" s="315"/>
    </row>
    <row r="24" spans="1:53" s="25" customFormat="1" ht="14.25">
      <c r="A24" s="106"/>
      <c r="B24" s="180" t="s">
        <v>883</v>
      </c>
      <c r="C24" s="13"/>
      <c r="D24" s="9"/>
      <c r="E24" s="33"/>
      <c r="F24" s="33"/>
      <c r="G24" s="4"/>
      <c r="H24" s="4"/>
      <c r="I24" s="4"/>
      <c r="J24" s="4"/>
      <c r="K24" s="4"/>
      <c r="L24" s="4"/>
      <c r="M24" s="4"/>
      <c r="N24" s="4"/>
      <c r="O24" s="20"/>
      <c r="P24" s="117"/>
      <c r="Q24" s="117"/>
    </row>
    <row r="25" spans="1:53" ht="24">
      <c r="A25" s="106">
        <v>11</v>
      </c>
      <c r="B25" s="225" t="s">
        <v>1537</v>
      </c>
      <c r="C25" s="116" t="s">
        <v>1082</v>
      </c>
      <c r="D25" s="14">
        <f>ROUND(30345.34/100,2)-D26</f>
        <v>255.95</v>
      </c>
      <c r="E25" s="33"/>
      <c r="F25" s="33"/>
      <c r="G25" s="4"/>
      <c r="H25" s="34"/>
      <c r="I25" s="4"/>
      <c r="J25" s="337"/>
      <c r="K25" s="338"/>
      <c r="L25" s="338"/>
      <c r="M25" s="338"/>
      <c r="N25" s="338"/>
      <c r="O25" s="339"/>
      <c r="P25" s="195"/>
      <c r="Q25" s="195"/>
      <c r="R25" s="196"/>
      <c r="S25" s="196"/>
      <c r="T25" s="196"/>
      <c r="U25" s="196"/>
    </row>
    <row r="26" spans="1:53" ht="14.25">
      <c r="A26" s="106">
        <v>12</v>
      </c>
      <c r="B26" s="225" t="s">
        <v>1538</v>
      </c>
      <c r="C26" s="116" t="s">
        <v>1082</v>
      </c>
      <c r="D26" s="14">
        <v>47.5</v>
      </c>
      <c r="E26" s="33"/>
      <c r="F26" s="33"/>
      <c r="G26" s="4"/>
      <c r="H26" s="34"/>
      <c r="I26" s="4"/>
      <c r="J26" s="337"/>
      <c r="K26" s="338"/>
      <c r="L26" s="338"/>
      <c r="M26" s="338"/>
      <c r="N26" s="338"/>
      <c r="O26" s="339"/>
      <c r="P26" s="195"/>
      <c r="Q26" s="195"/>
      <c r="R26" s="196"/>
      <c r="S26" s="196"/>
      <c r="T26" s="196"/>
      <c r="U26" s="196"/>
    </row>
    <row r="27" spans="1:53" ht="14.25">
      <c r="A27" s="106">
        <v>13</v>
      </c>
      <c r="B27" s="225" t="s">
        <v>884</v>
      </c>
      <c r="C27" s="116" t="s">
        <v>1082</v>
      </c>
      <c r="D27" s="9">
        <f>5263.84/100</f>
        <v>52.638400000000004</v>
      </c>
      <c r="E27" s="33"/>
      <c r="F27" s="33"/>
      <c r="G27" s="4"/>
      <c r="H27" s="34"/>
      <c r="I27" s="4"/>
      <c r="J27" s="337"/>
      <c r="K27" s="338"/>
      <c r="L27" s="338"/>
      <c r="M27" s="338"/>
      <c r="N27" s="338"/>
      <c r="O27" s="339"/>
      <c r="P27" s="195"/>
      <c r="Q27" s="195"/>
      <c r="R27" s="196"/>
      <c r="S27" s="196"/>
      <c r="T27" s="196"/>
      <c r="U27" s="196"/>
    </row>
    <row r="28" spans="1:53" s="25" customFormat="1" ht="14.25">
      <c r="A28" s="19" t="s">
        <v>1365</v>
      </c>
      <c r="B28" s="121" t="s">
        <v>91</v>
      </c>
      <c r="C28" s="17" t="s">
        <v>26</v>
      </c>
      <c r="D28" s="9">
        <f>ROUND(D27*1.05*100,2)</f>
        <v>5527.03</v>
      </c>
      <c r="E28" s="40"/>
      <c r="F28" s="40"/>
      <c r="G28" s="16"/>
      <c r="H28" s="4"/>
      <c r="I28" s="16"/>
      <c r="J28" s="337"/>
      <c r="K28" s="338"/>
      <c r="L28" s="338"/>
      <c r="M28" s="338"/>
      <c r="N28" s="338"/>
      <c r="O28" s="339"/>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row>
    <row r="29" spans="1:53" s="25" customFormat="1" ht="14.25">
      <c r="A29" s="106"/>
      <c r="B29" s="180" t="s">
        <v>885</v>
      </c>
      <c r="C29" s="13"/>
      <c r="D29" s="9"/>
      <c r="E29" s="33"/>
      <c r="F29" s="33"/>
      <c r="G29" s="4"/>
      <c r="H29" s="4"/>
      <c r="I29" s="4"/>
      <c r="J29" s="4"/>
      <c r="K29" s="4"/>
      <c r="L29" s="4"/>
      <c r="M29" s="4"/>
      <c r="N29" s="4"/>
      <c r="O29" s="20"/>
      <c r="P29" s="117"/>
      <c r="Q29" s="117"/>
    </row>
    <row r="30" spans="1:53" s="25" customFormat="1" ht="14.25">
      <c r="A30" s="106"/>
      <c r="B30" s="328" t="s">
        <v>1198</v>
      </c>
      <c r="C30" s="13" t="s">
        <v>174</v>
      </c>
      <c r="D30" s="9"/>
      <c r="E30" s="33"/>
      <c r="F30" s="33"/>
      <c r="G30" s="4"/>
      <c r="H30" s="4"/>
      <c r="I30" s="4"/>
      <c r="J30" s="4"/>
      <c r="K30" s="4"/>
      <c r="L30" s="4"/>
      <c r="M30" s="4"/>
      <c r="N30" s="4"/>
      <c r="O30" s="20"/>
      <c r="P30" s="117"/>
      <c r="Q30" s="117"/>
    </row>
    <row r="31" spans="1:53" ht="14.25">
      <c r="A31" s="106">
        <v>14</v>
      </c>
      <c r="B31" s="225" t="s">
        <v>295</v>
      </c>
      <c r="C31" s="116" t="s">
        <v>14</v>
      </c>
      <c r="D31" s="9">
        <v>156.24</v>
      </c>
      <c r="E31" s="313"/>
      <c r="F31" s="33"/>
      <c r="G31" s="4"/>
      <c r="H31" s="108"/>
      <c r="I31" s="4"/>
      <c r="J31" s="337"/>
      <c r="K31" s="338"/>
      <c r="L31" s="338"/>
      <c r="M31" s="338"/>
      <c r="N31" s="338"/>
      <c r="O31" s="339"/>
      <c r="P31" s="195"/>
      <c r="Q31" s="195"/>
      <c r="R31" s="196"/>
      <c r="S31" s="196"/>
    </row>
    <row r="32" spans="1:53" ht="14.25">
      <c r="A32" s="106">
        <f t="shared" si="0"/>
        <v>15</v>
      </c>
      <c r="B32" s="24" t="s">
        <v>1086</v>
      </c>
      <c r="C32" s="13" t="s">
        <v>14</v>
      </c>
      <c r="D32" s="9">
        <f>ROUND(D31*1.05,2)</f>
        <v>164.05</v>
      </c>
      <c r="E32" s="33"/>
      <c r="F32" s="33"/>
      <c r="G32" s="4"/>
      <c r="H32" s="4"/>
      <c r="I32" s="4"/>
      <c r="J32" s="337"/>
      <c r="K32" s="338"/>
      <c r="L32" s="338"/>
      <c r="M32" s="338"/>
      <c r="N32" s="338"/>
      <c r="O32" s="339"/>
      <c r="P32" s="195"/>
      <c r="Q32" s="195"/>
      <c r="R32" s="196"/>
      <c r="S32" s="196"/>
    </row>
    <row r="33" spans="1:51" ht="14.25">
      <c r="A33" s="106">
        <f t="shared" si="0"/>
        <v>16</v>
      </c>
      <c r="B33" s="225" t="s">
        <v>296</v>
      </c>
      <c r="C33" s="116" t="s">
        <v>14</v>
      </c>
      <c r="D33" s="9">
        <v>156.24</v>
      </c>
      <c r="E33" s="33"/>
      <c r="F33" s="33"/>
      <c r="G33" s="4"/>
      <c r="H33" s="4"/>
      <c r="I33" s="4"/>
      <c r="J33" s="337"/>
      <c r="K33" s="338"/>
      <c r="L33" s="338"/>
      <c r="M33" s="338"/>
      <c r="N33" s="338"/>
      <c r="O33" s="339"/>
      <c r="P33" s="195"/>
      <c r="Q33" s="195"/>
      <c r="R33" s="196"/>
      <c r="S33" s="196"/>
    </row>
    <row r="34" spans="1:51" s="25" customFormat="1" ht="14.25">
      <c r="A34" s="106">
        <f t="shared" si="0"/>
        <v>17</v>
      </c>
      <c r="B34" s="24" t="s">
        <v>93</v>
      </c>
      <c r="C34" s="17" t="s">
        <v>26</v>
      </c>
      <c r="D34" s="9">
        <f>ROUND(D33*1.05*0.03,2)</f>
        <v>4.92</v>
      </c>
      <c r="E34" s="40"/>
      <c r="F34" s="40"/>
      <c r="G34" s="16"/>
      <c r="H34" s="4"/>
      <c r="I34" s="16"/>
      <c r="J34" s="337"/>
      <c r="K34" s="338"/>
      <c r="L34" s="338"/>
      <c r="M34" s="338"/>
      <c r="N34" s="338"/>
      <c r="O34" s="339"/>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row>
    <row r="35" spans="1:51" ht="14.25">
      <c r="A35" s="106">
        <f t="shared" si="0"/>
        <v>18</v>
      </c>
      <c r="B35" s="225" t="s">
        <v>1199</v>
      </c>
      <c r="C35" s="17" t="s">
        <v>37</v>
      </c>
      <c r="D35" s="9">
        <f>156.24/100*0.25</f>
        <v>0.3906</v>
      </c>
      <c r="E35" s="33"/>
      <c r="F35" s="33"/>
      <c r="G35" s="4"/>
      <c r="H35" s="4"/>
      <c r="I35" s="4"/>
      <c r="J35" s="337"/>
      <c r="K35" s="338"/>
      <c r="L35" s="338"/>
      <c r="M35" s="338"/>
      <c r="N35" s="338"/>
      <c r="O35" s="339"/>
      <c r="P35" s="195"/>
      <c r="Q35" s="195"/>
      <c r="R35" s="196"/>
      <c r="S35" s="196"/>
    </row>
    <row r="36" spans="1:51" s="25" customFormat="1" ht="14.25">
      <c r="A36" s="106">
        <f t="shared" si="0"/>
        <v>19</v>
      </c>
      <c r="B36" s="24" t="s">
        <v>92</v>
      </c>
      <c r="C36" s="13" t="s">
        <v>26</v>
      </c>
      <c r="D36" s="9">
        <f>ROUND(D35*1.25*100,2)</f>
        <v>48.83</v>
      </c>
      <c r="E36" s="36"/>
      <c r="F36" s="36"/>
      <c r="G36" s="4"/>
      <c r="H36" s="4"/>
      <c r="I36" s="4"/>
      <c r="J36" s="337"/>
      <c r="K36" s="338"/>
      <c r="L36" s="338"/>
      <c r="M36" s="338"/>
      <c r="N36" s="338"/>
      <c r="O36" s="339"/>
    </row>
    <row r="37" spans="1:51" ht="14.25">
      <c r="A37" s="106">
        <f t="shared" si="0"/>
        <v>20</v>
      </c>
      <c r="B37" s="225" t="s">
        <v>886</v>
      </c>
      <c r="C37" s="17" t="s">
        <v>37</v>
      </c>
      <c r="D37" s="9">
        <f>ROUND(93.93/100,2)</f>
        <v>0.94</v>
      </c>
      <c r="E37" s="33"/>
      <c r="F37" s="33"/>
      <c r="G37" s="4"/>
      <c r="H37" s="34"/>
      <c r="I37" s="4"/>
      <c r="J37" s="337"/>
      <c r="K37" s="338"/>
      <c r="L37" s="338"/>
      <c r="M37" s="338"/>
      <c r="N37" s="338"/>
      <c r="O37" s="339"/>
      <c r="P37" s="195"/>
      <c r="Q37" s="195"/>
      <c r="R37" s="196"/>
      <c r="S37" s="196"/>
    </row>
    <row r="38" spans="1:51" s="25" customFormat="1" ht="14.25">
      <c r="A38" s="106">
        <f t="shared" si="0"/>
        <v>21</v>
      </c>
      <c r="B38" s="121" t="s">
        <v>91</v>
      </c>
      <c r="C38" s="17" t="s">
        <v>26</v>
      </c>
      <c r="D38" s="9">
        <f>ROUND(D37*1.05*100,2)</f>
        <v>98.7</v>
      </c>
      <c r="E38" s="40"/>
      <c r="F38" s="40"/>
      <c r="G38" s="16"/>
      <c r="H38" s="4"/>
      <c r="I38" s="16"/>
      <c r="J38" s="337"/>
      <c r="K38" s="338"/>
      <c r="L38" s="338"/>
      <c r="M38" s="338"/>
      <c r="N38" s="338"/>
      <c r="O38" s="339"/>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row>
    <row r="39" spans="1:51" s="25" customFormat="1" ht="14.25">
      <c r="A39" s="106"/>
      <c r="B39" s="328" t="s">
        <v>1200</v>
      </c>
      <c r="C39" s="13"/>
      <c r="D39" s="9"/>
      <c r="E39" s="33"/>
      <c r="F39" s="33"/>
      <c r="G39" s="4"/>
      <c r="H39" s="4"/>
      <c r="I39" s="4"/>
      <c r="J39" s="4"/>
      <c r="K39" s="4"/>
      <c r="L39" s="4"/>
      <c r="M39" s="4"/>
      <c r="N39" s="4"/>
      <c r="O39" s="20"/>
      <c r="P39" s="117"/>
      <c r="Q39" s="117"/>
    </row>
    <row r="40" spans="1:51" ht="24">
      <c r="A40" s="106">
        <v>22</v>
      </c>
      <c r="B40" s="225" t="s">
        <v>1201</v>
      </c>
      <c r="C40" s="226" t="s">
        <v>14</v>
      </c>
      <c r="D40" s="9">
        <v>2364.7199999999998</v>
      </c>
      <c r="E40" s="33"/>
      <c r="F40" s="33"/>
      <c r="G40" s="4"/>
      <c r="H40" s="33"/>
      <c r="I40" s="4"/>
      <c r="J40" s="337"/>
      <c r="K40" s="338"/>
      <c r="L40" s="338"/>
      <c r="M40" s="338"/>
      <c r="N40" s="338"/>
      <c r="O40" s="339"/>
      <c r="P40" s="195"/>
      <c r="Q40" s="195"/>
      <c r="R40" s="196"/>
      <c r="S40" s="196"/>
    </row>
    <row r="41" spans="1:51" ht="14.25">
      <c r="A41" s="106">
        <f t="shared" si="0"/>
        <v>23</v>
      </c>
      <c r="B41" s="225" t="s">
        <v>888</v>
      </c>
      <c r="C41" s="17" t="s">
        <v>37</v>
      </c>
      <c r="D41" s="9">
        <f>ROUND(2364.72/100*0.2,2)</f>
        <v>4.7300000000000004</v>
      </c>
      <c r="E41" s="33"/>
      <c r="F41" s="33"/>
      <c r="G41" s="4"/>
      <c r="H41" s="4"/>
      <c r="I41" s="4"/>
      <c r="J41" s="337"/>
      <c r="K41" s="338"/>
      <c r="L41" s="338"/>
      <c r="M41" s="338"/>
      <c r="N41" s="338"/>
      <c r="O41" s="339"/>
      <c r="P41" s="195"/>
      <c r="Q41" s="195"/>
      <c r="R41" s="196"/>
      <c r="S41" s="196"/>
    </row>
    <row r="42" spans="1:51" s="25" customFormat="1" ht="14.25">
      <c r="A42" s="19" t="s">
        <v>1447</v>
      </c>
      <c r="B42" s="24" t="s">
        <v>92</v>
      </c>
      <c r="C42" s="13" t="s">
        <v>26</v>
      </c>
      <c r="D42" s="9">
        <f>ROUND(D41*1.25*100,2)</f>
        <v>591.25</v>
      </c>
      <c r="E42" s="36"/>
      <c r="F42" s="36"/>
      <c r="G42" s="4"/>
      <c r="H42" s="4"/>
      <c r="I42" s="4"/>
      <c r="J42" s="337"/>
      <c r="K42" s="338"/>
      <c r="L42" s="338"/>
      <c r="M42" s="338"/>
      <c r="N42" s="338"/>
      <c r="O42" s="339"/>
    </row>
    <row r="43" spans="1:51" ht="14.25">
      <c r="A43" s="106">
        <v>24</v>
      </c>
      <c r="B43" s="225" t="s">
        <v>1202</v>
      </c>
      <c r="C43" s="226" t="s">
        <v>37</v>
      </c>
      <c r="D43" s="9">
        <f>ROUND(1598.8704/100,2)</f>
        <v>15.99</v>
      </c>
      <c r="E43" s="33"/>
      <c r="F43" s="33"/>
      <c r="G43" s="4"/>
      <c r="H43" s="34"/>
      <c r="I43" s="4"/>
      <c r="J43" s="337"/>
      <c r="K43" s="338"/>
      <c r="L43" s="338"/>
      <c r="M43" s="338"/>
      <c r="N43" s="338"/>
      <c r="O43" s="339"/>
      <c r="P43" s="195"/>
      <c r="Q43" s="195"/>
      <c r="R43" s="196"/>
      <c r="S43" s="196"/>
    </row>
    <row r="44" spans="1:51" s="25" customFormat="1" ht="14.25">
      <c r="A44" s="19" t="s">
        <v>1452</v>
      </c>
      <c r="B44" s="121" t="s">
        <v>91</v>
      </c>
      <c r="C44" s="17" t="s">
        <v>26</v>
      </c>
      <c r="D44" s="9">
        <f>ROUND(D43*1.05*100,2)</f>
        <v>1678.95</v>
      </c>
      <c r="E44" s="40"/>
      <c r="F44" s="40"/>
      <c r="G44" s="16"/>
      <c r="H44" s="4"/>
      <c r="I44" s="16"/>
      <c r="J44" s="337"/>
      <c r="K44" s="338"/>
      <c r="L44" s="338"/>
      <c r="M44" s="338"/>
      <c r="N44" s="338"/>
      <c r="O44" s="339"/>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row>
    <row r="45" spans="1:51" s="25" customFormat="1" ht="24">
      <c r="A45" s="106"/>
      <c r="B45" s="319" t="s">
        <v>1203</v>
      </c>
      <c r="C45" s="13"/>
      <c r="D45" s="9"/>
      <c r="E45" s="33"/>
      <c r="F45" s="33"/>
      <c r="G45" s="4"/>
      <c r="H45" s="4"/>
      <c r="I45" s="4"/>
      <c r="J45" s="4"/>
      <c r="K45" s="4"/>
      <c r="L45" s="4"/>
      <c r="M45" s="4"/>
      <c r="N45" s="4"/>
      <c r="O45" s="20"/>
      <c r="P45" s="117"/>
      <c r="Q45" s="117"/>
    </row>
    <row r="46" spans="1:51" ht="24">
      <c r="A46" s="106">
        <v>25</v>
      </c>
      <c r="B46" s="225" t="s">
        <v>887</v>
      </c>
      <c r="C46" s="226" t="s">
        <v>14</v>
      </c>
      <c r="D46" s="9">
        <v>9042.0329999999994</v>
      </c>
      <c r="E46" s="33"/>
      <c r="F46" s="33"/>
      <c r="G46" s="4"/>
      <c r="H46" s="33"/>
      <c r="I46" s="4"/>
      <c r="J46" s="337"/>
      <c r="K46" s="338"/>
      <c r="L46" s="338"/>
      <c r="M46" s="338"/>
      <c r="N46" s="338"/>
      <c r="O46" s="339"/>
      <c r="P46" s="195"/>
      <c r="Q46" s="195"/>
      <c r="R46" s="196"/>
      <c r="S46" s="196"/>
    </row>
    <row r="47" spans="1:51" ht="14.25">
      <c r="A47" s="106">
        <f t="shared" si="0"/>
        <v>26</v>
      </c>
      <c r="B47" s="225" t="s">
        <v>888</v>
      </c>
      <c r="C47" s="17" t="s">
        <v>37</v>
      </c>
      <c r="D47" s="9">
        <f>ROUND(9921.912/100*0.2,2)</f>
        <v>19.84</v>
      </c>
      <c r="E47" s="33"/>
      <c r="F47" s="33"/>
      <c r="G47" s="4"/>
      <c r="H47" s="4"/>
      <c r="I47" s="4"/>
      <c r="J47" s="337"/>
      <c r="K47" s="338"/>
      <c r="L47" s="338"/>
      <c r="M47" s="338"/>
      <c r="N47" s="338"/>
      <c r="O47" s="339"/>
      <c r="P47" s="195"/>
      <c r="Q47" s="195"/>
      <c r="R47" s="196"/>
      <c r="S47" s="196"/>
    </row>
    <row r="48" spans="1:51" s="25" customFormat="1" ht="14.25">
      <c r="A48" s="19" t="s">
        <v>1456</v>
      </c>
      <c r="B48" s="24" t="s">
        <v>92</v>
      </c>
      <c r="C48" s="13" t="s">
        <v>26</v>
      </c>
      <c r="D48" s="9">
        <f>ROUND(D47*1.25*100,2)</f>
        <v>2480</v>
      </c>
      <c r="E48" s="36"/>
      <c r="F48" s="36"/>
      <c r="G48" s="4"/>
      <c r="H48" s="4"/>
      <c r="I48" s="4"/>
      <c r="J48" s="337"/>
      <c r="K48" s="338"/>
      <c r="L48" s="338"/>
      <c r="M48" s="338"/>
      <c r="N48" s="338"/>
      <c r="O48" s="339"/>
    </row>
    <row r="49" spans="1:51" ht="14.25">
      <c r="A49" s="106">
        <v>27</v>
      </c>
      <c r="B49" s="225" t="s">
        <v>886</v>
      </c>
      <c r="C49" s="226" t="s">
        <v>37</v>
      </c>
      <c r="D49" s="9">
        <f>ROUND(6302.6964/100,2)</f>
        <v>63.03</v>
      </c>
      <c r="E49" s="33"/>
      <c r="F49" s="33"/>
      <c r="G49" s="4"/>
      <c r="H49" s="34"/>
      <c r="I49" s="4"/>
      <c r="J49" s="337"/>
      <c r="K49" s="338"/>
      <c r="L49" s="338"/>
      <c r="M49" s="338"/>
      <c r="N49" s="338"/>
      <c r="O49" s="339"/>
      <c r="P49" s="195"/>
      <c r="Q49" s="195"/>
      <c r="R49" s="196"/>
      <c r="S49" s="196"/>
    </row>
    <row r="50" spans="1:51" s="25" customFormat="1" ht="14.25">
      <c r="A50" s="19" t="s">
        <v>1457</v>
      </c>
      <c r="B50" s="121" t="s">
        <v>91</v>
      </c>
      <c r="C50" s="17" t="s">
        <v>26</v>
      </c>
      <c r="D50" s="9">
        <f>ROUND(D49*1.05*100,2)</f>
        <v>6618.15</v>
      </c>
      <c r="E50" s="40"/>
      <c r="F50" s="40"/>
      <c r="G50" s="16"/>
      <c r="H50" s="4"/>
      <c r="I50" s="16"/>
      <c r="J50" s="337"/>
      <c r="K50" s="338"/>
      <c r="L50" s="338"/>
      <c r="M50" s="338"/>
      <c r="N50" s="338"/>
      <c r="O50" s="339"/>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row>
    <row r="51" spans="1:51" s="25" customFormat="1" ht="14.25">
      <c r="A51" s="106"/>
      <c r="B51" s="319" t="s">
        <v>1204</v>
      </c>
      <c r="C51" s="13"/>
      <c r="D51" s="9"/>
      <c r="E51" s="33"/>
      <c r="F51" s="33"/>
      <c r="G51" s="4"/>
      <c r="H51" s="4"/>
      <c r="I51" s="4"/>
      <c r="J51" s="4"/>
      <c r="K51" s="4"/>
      <c r="L51" s="4"/>
      <c r="M51" s="4"/>
      <c r="N51" s="4"/>
      <c r="O51" s="20"/>
      <c r="P51" s="117"/>
      <c r="Q51" s="117"/>
    </row>
    <row r="52" spans="1:51" ht="36">
      <c r="A52" s="106">
        <v>28</v>
      </c>
      <c r="B52" s="225" t="s">
        <v>889</v>
      </c>
      <c r="C52" s="226" t="s">
        <v>14</v>
      </c>
      <c r="D52" s="9">
        <v>665.59</v>
      </c>
      <c r="E52" s="33"/>
      <c r="F52" s="33"/>
      <c r="G52" s="4"/>
      <c r="H52" s="33"/>
      <c r="I52" s="4"/>
      <c r="J52" s="4"/>
      <c r="K52" s="4"/>
      <c r="L52" s="4"/>
      <c r="M52" s="4"/>
      <c r="N52" s="4"/>
      <c r="O52" s="20"/>
      <c r="P52" s="195"/>
      <c r="Q52" s="195"/>
      <c r="R52" s="196"/>
      <c r="S52" s="196"/>
    </row>
    <row r="53" spans="1:51" s="25" customFormat="1" ht="24">
      <c r="A53" s="106">
        <f t="shared" si="0"/>
        <v>29</v>
      </c>
      <c r="B53" s="2" t="s">
        <v>1205</v>
      </c>
      <c r="C53" s="13" t="s">
        <v>26</v>
      </c>
      <c r="D53" s="9">
        <f>ROUND(D52*0.14,2)</f>
        <v>93.18</v>
      </c>
      <c r="E53" s="33"/>
      <c r="F53" s="33"/>
      <c r="G53" s="4"/>
      <c r="H53" s="4"/>
      <c r="I53" s="4"/>
      <c r="J53" s="337"/>
      <c r="K53" s="338"/>
      <c r="L53" s="338"/>
      <c r="M53" s="338"/>
      <c r="N53" s="338"/>
      <c r="O53" s="339"/>
    </row>
    <row r="54" spans="1:51" s="25" customFormat="1" ht="14.25">
      <c r="A54" s="19" t="s">
        <v>1462</v>
      </c>
      <c r="B54" s="24" t="s">
        <v>92</v>
      </c>
      <c r="C54" s="13" t="s">
        <v>26</v>
      </c>
      <c r="D54" s="9">
        <f>ROUND(D53*0.97,2)</f>
        <v>90.38</v>
      </c>
      <c r="E54" s="36"/>
      <c r="F54" s="36"/>
      <c r="G54" s="4"/>
      <c r="H54" s="4"/>
      <c r="I54" s="4"/>
      <c r="J54" s="337"/>
      <c r="K54" s="338"/>
      <c r="L54" s="338"/>
      <c r="M54" s="338"/>
      <c r="N54" s="338"/>
      <c r="O54" s="339"/>
    </row>
    <row r="55" spans="1:51" s="25" customFormat="1" ht="14.25">
      <c r="A55" s="19" t="s">
        <v>1463</v>
      </c>
      <c r="B55" s="24" t="s">
        <v>93</v>
      </c>
      <c r="C55" s="13" t="s">
        <v>26</v>
      </c>
      <c r="D55" s="9">
        <f>ROUND(D53*0.18,2)</f>
        <v>16.77</v>
      </c>
      <c r="E55" s="36"/>
      <c r="F55" s="36"/>
      <c r="G55" s="4"/>
      <c r="H55" s="11"/>
      <c r="I55" s="4"/>
      <c r="J55" s="337"/>
      <c r="K55" s="338"/>
      <c r="L55" s="338"/>
      <c r="M55" s="338"/>
      <c r="N55" s="338"/>
      <c r="O55" s="339"/>
    </row>
    <row r="56" spans="1:51" s="25" customFormat="1" ht="14.25">
      <c r="A56" s="19" t="s">
        <v>1464</v>
      </c>
      <c r="B56" s="121" t="s">
        <v>91</v>
      </c>
      <c r="C56" s="13" t="s">
        <v>26</v>
      </c>
      <c r="D56" s="9">
        <f>ROUND(D53*0.09,2)</f>
        <v>8.39</v>
      </c>
      <c r="E56" s="36"/>
      <c r="F56" s="36"/>
      <c r="G56" s="4"/>
      <c r="H56" s="4"/>
      <c r="I56" s="4"/>
      <c r="J56" s="337"/>
      <c r="K56" s="338"/>
      <c r="L56" s="338"/>
      <c r="M56" s="338"/>
      <c r="N56" s="338"/>
      <c r="O56" s="339"/>
    </row>
    <row r="57" spans="1:51" s="25" customFormat="1" ht="14.25">
      <c r="A57" s="106"/>
      <c r="B57" s="319" t="s">
        <v>1206</v>
      </c>
      <c r="C57" s="13" t="s">
        <v>174</v>
      </c>
      <c r="D57" s="9"/>
      <c r="E57" s="33"/>
      <c r="F57" s="33"/>
      <c r="G57" s="4"/>
      <c r="H57" s="4"/>
      <c r="I57" s="4"/>
      <c r="J57" s="4"/>
      <c r="K57" s="4"/>
      <c r="L57" s="4"/>
      <c r="M57" s="4"/>
      <c r="N57" s="4"/>
      <c r="O57" s="20"/>
      <c r="P57" s="117"/>
      <c r="Q57" s="117"/>
    </row>
    <row r="58" spans="1:51" ht="36">
      <c r="A58" s="106">
        <v>30</v>
      </c>
      <c r="B58" s="225" t="s">
        <v>1207</v>
      </c>
      <c r="C58" s="116" t="s">
        <v>14</v>
      </c>
      <c r="D58" s="14">
        <v>33</v>
      </c>
      <c r="E58" s="107"/>
      <c r="F58" s="33"/>
      <c r="G58" s="4"/>
      <c r="H58" s="108"/>
      <c r="I58" s="4"/>
      <c r="J58" s="337"/>
      <c r="K58" s="338"/>
      <c r="L58" s="338"/>
      <c r="M58" s="338"/>
      <c r="N58" s="338"/>
      <c r="O58" s="339"/>
      <c r="P58" s="195"/>
      <c r="Q58" s="195"/>
      <c r="R58" s="196"/>
      <c r="S58" s="196"/>
    </row>
    <row r="59" spans="1:51" s="25" customFormat="1" ht="24">
      <c r="A59" s="106"/>
      <c r="B59" s="319" t="s">
        <v>890</v>
      </c>
      <c r="C59" s="13"/>
      <c r="D59" s="9"/>
      <c r="E59" s="33"/>
      <c r="F59" s="33"/>
      <c r="G59" s="4"/>
      <c r="H59" s="4"/>
      <c r="I59" s="4"/>
      <c r="J59" s="4"/>
      <c r="K59" s="4"/>
      <c r="L59" s="4"/>
      <c r="M59" s="4"/>
      <c r="N59" s="4"/>
      <c r="O59" s="20"/>
      <c r="P59" s="117"/>
      <c r="Q59" s="117"/>
    </row>
    <row r="60" spans="1:51" s="25" customFormat="1" ht="14.25">
      <c r="A60" s="106"/>
      <c r="B60" s="328" t="s">
        <v>891</v>
      </c>
      <c r="C60" s="13" t="s">
        <v>174</v>
      </c>
      <c r="D60" s="9"/>
      <c r="E60" s="33"/>
      <c r="F60" s="33"/>
      <c r="G60" s="4"/>
      <c r="H60" s="4"/>
      <c r="I60" s="4"/>
      <c r="J60" s="4"/>
      <c r="K60" s="4"/>
      <c r="L60" s="4"/>
      <c r="M60" s="4"/>
      <c r="N60" s="4"/>
      <c r="O60" s="20"/>
      <c r="P60" s="117"/>
      <c r="Q60" s="117"/>
    </row>
    <row r="61" spans="1:51" ht="14.25">
      <c r="A61" s="106">
        <v>31</v>
      </c>
      <c r="B61" s="225" t="s">
        <v>295</v>
      </c>
      <c r="C61" s="116" t="s">
        <v>14</v>
      </c>
      <c r="D61" s="9">
        <v>798.91</v>
      </c>
      <c r="E61" s="313"/>
      <c r="F61" s="33"/>
      <c r="G61" s="4"/>
      <c r="H61" s="108"/>
      <c r="I61" s="4"/>
      <c r="J61" s="337"/>
      <c r="K61" s="338"/>
      <c r="L61" s="338"/>
      <c r="M61" s="338"/>
      <c r="N61" s="338"/>
      <c r="O61" s="339"/>
      <c r="P61" s="195"/>
      <c r="Q61" s="195"/>
      <c r="R61" s="196"/>
      <c r="S61" s="196"/>
    </row>
    <row r="62" spans="1:51" ht="14.25">
      <c r="A62" s="19" t="s">
        <v>1470</v>
      </c>
      <c r="B62" s="24" t="s">
        <v>1086</v>
      </c>
      <c r="C62" s="13" t="s">
        <v>14</v>
      </c>
      <c r="D62" s="9">
        <f>ROUND(D61*1.05,2)</f>
        <v>838.86</v>
      </c>
      <c r="E62" s="33"/>
      <c r="F62" s="33"/>
      <c r="G62" s="4"/>
      <c r="H62" s="4"/>
      <c r="I62" s="4"/>
      <c r="J62" s="337"/>
      <c r="K62" s="338"/>
      <c r="L62" s="338"/>
      <c r="M62" s="338"/>
      <c r="N62" s="338"/>
      <c r="O62" s="339"/>
      <c r="P62" s="195"/>
      <c r="Q62" s="195"/>
      <c r="R62" s="196"/>
      <c r="S62" s="196"/>
    </row>
    <row r="63" spans="1:51" ht="14.25">
      <c r="A63" s="106">
        <v>32</v>
      </c>
      <c r="B63" s="225" t="s">
        <v>296</v>
      </c>
      <c r="C63" s="116" t="s">
        <v>14</v>
      </c>
      <c r="D63" s="9">
        <v>798.91</v>
      </c>
      <c r="E63" s="33"/>
      <c r="F63" s="33"/>
      <c r="G63" s="4"/>
      <c r="H63" s="4"/>
      <c r="I63" s="4"/>
      <c r="J63" s="337"/>
      <c r="K63" s="338"/>
      <c r="L63" s="338"/>
      <c r="M63" s="338"/>
      <c r="N63" s="338"/>
      <c r="O63" s="339"/>
      <c r="P63" s="195"/>
      <c r="Q63" s="195"/>
      <c r="R63" s="196"/>
      <c r="S63" s="196"/>
    </row>
    <row r="64" spans="1:51" s="25" customFormat="1" ht="14.25">
      <c r="A64" s="19" t="s">
        <v>1471</v>
      </c>
      <c r="B64" s="24" t="s">
        <v>93</v>
      </c>
      <c r="C64" s="17" t="s">
        <v>26</v>
      </c>
      <c r="D64" s="9">
        <f>ROUND(D63*1.05*0.03,2)</f>
        <v>25.17</v>
      </c>
      <c r="E64" s="40"/>
      <c r="F64" s="40"/>
      <c r="G64" s="16"/>
      <c r="H64" s="4"/>
      <c r="I64" s="16"/>
      <c r="J64" s="337"/>
      <c r="K64" s="338"/>
      <c r="L64" s="338"/>
      <c r="M64" s="338"/>
      <c r="N64" s="338"/>
      <c r="O64" s="339"/>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row>
    <row r="65" spans="1:51" ht="14.25">
      <c r="A65" s="106">
        <v>33</v>
      </c>
      <c r="B65" s="225" t="s">
        <v>892</v>
      </c>
      <c r="C65" s="17" t="s">
        <v>37</v>
      </c>
      <c r="D65" s="9">
        <f>ROUND(798.91/100*0.15,2)</f>
        <v>1.2</v>
      </c>
      <c r="E65" s="33"/>
      <c r="F65" s="33"/>
      <c r="G65" s="4"/>
      <c r="H65" s="4"/>
      <c r="I65" s="4"/>
      <c r="J65" s="337"/>
      <c r="K65" s="338"/>
      <c r="L65" s="338"/>
      <c r="M65" s="338"/>
      <c r="N65" s="338"/>
      <c r="O65" s="339"/>
      <c r="P65" s="195"/>
      <c r="Q65" s="195"/>
      <c r="R65" s="196"/>
      <c r="S65" s="196"/>
    </row>
    <row r="66" spans="1:51" s="25" customFormat="1" ht="14.25">
      <c r="A66" s="19" t="s">
        <v>1472</v>
      </c>
      <c r="B66" s="24" t="s">
        <v>92</v>
      </c>
      <c r="C66" s="13" t="s">
        <v>26</v>
      </c>
      <c r="D66" s="9">
        <f>ROUND(D65*1.25*100,2)</f>
        <v>150</v>
      </c>
      <c r="E66" s="36"/>
      <c r="F66" s="36"/>
      <c r="G66" s="4"/>
      <c r="H66" s="4"/>
      <c r="I66" s="4"/>
      <c r="J66" s="337"/>
      <c r="K66" s="338"/>
      <c r="L66" s="338"/>
      <c r="M66" s="338"/>
      <c r="N66" s="338"/>
      <c r="O66" s="339"/>
    </row>
    <row r="67" spans="1:51" ht="14.25">
      <c r="A67" s="106">
        <v>34</v>
      </c>
      <c r="B67" s="225" t="s">
        <v>893</v>
      </c>
      <c r="C67" s="17" t="s">
        <v>37</v>
      </c>
      <c r="D67" s="9">
        <f>ROUND(526.6802/100,2)</f>
        <v>5.27</v>
      </c>
      <c r="E67" s="33"/>
      <c r="F67" s="33"/>
      <c r="G67" s="4"/>
      <c r="H67" s="34"/>
      <c r="I67" s="4"/>
      <c r="J67" s="337"/>
      <c r="K67" s="338"/>
      <c r="L67" s="338"/>
      <c r="M67" s="338"/>
      <c r="N67" s="338"/>
      <c r="O67" s="339"/>
      <c r="P67" s="195"/>
      <c r="Q67" s="195"/>
      <c r="R67" s="196"/>
      <c r="S67" s="196"/>
    </row>
    <row r="68" spans="1:51" s="25" customFormat="1" ht="14.25">
      <c r="A68" s="106" t="s">
        <v>1524</v>
      </c>
      <c r="B68" s="121" t="s">
        <v>91</v>
      </c>
      <c r="C68" s="17" t="s">
        <v>26</v>
      </c>
      <c r="D68" s="9">
        <f>ROUND(D67*1.05*100,2)</f>
        <v>553.35</v>
      </c>
      <c r="E68" s="40"/>
      <c r="F68" s="40"/>
      <c r="G68" s="16"/>
      <c r="H68" s="4"/>
      <c r="I68" s="16"/>
      <c r="J68" s="337"/>
      <c r="K68" s="338"/>
      <c r="L68" s="338"/>
      <c r="M68" s="338"/>
      <c r="N68" s="338"/>
      <c r="O68" s="339"/>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row>
    <row r="69" spans="1:51" s="25" customFormat="1" ht="14.25">
      <c r="A69" s="106"/>
      <c r="B69" s="328" t="s">
        <v>894</v>
      </c>
      <c r="C69" s="13"/>
      <c r="D69" s="9"/>
      <c r="E69" s="33"/>
      <c r="F69" s="33"/>
      <c r="G69" s="4"/>
      <c r="H69" s="4"/>
      <c r="I69" s="4"/>
      <c r="J69" s="4"/>
      <c r="K69" s="4"/>
      <c r="L69" s="4"/>
      <c r="M69" s="4"/>
      <c r="N69" s="4"/>
      <c r="O69" s="20"/>
      <c r="P69" s="117"/>
      <c r="Q69" s="117"/>
    </row>
    <row r="70" spans="1:51" ht="24">
      <c r="A70" s="106">
        <v>35</v>
      </c>
      <c r="B70" s="225" t="s">
        <v>1208</v>
      </c>
      <c r="C70" s="226" t="s">
        <v>14</v>
      </c>
      <c r="D70" s="9">
        <v>36.75</v>
      </c>
      <c r="E70" s="33"/>
      <c r="F70" s="33"/>
      <c r="G70" s="4"/>
      <c r="H70" s="33"/>
      <c r="I70" s="4"/>
      <c r="J70" s="4"/>
      <c r="K70" s="4"/>
      <c r="L70" s="4"/>
      <c r="M70" s="4"/>
      <c r="N70" s="4"/>
      <c r="O70" s="20"/>
      <c r="P70" s="195"/>
      <c r="Q70" s="195"/>
      <c r="R70" s="196"/>
      <c r="S70" s="196"/>
    </row>
    <row r="71" spans="1:51" s="25" customFormat="1" ht="24">
      <c r="A71" s="106">
        <f t="shared" si="0"/>
        <v>36</v>
      </c>
      <c r="B71" s="2" t="s">
        <v>1205</v>
      </c>
      <c r="C71" s="13" t="s">
        <v>26</v>
      </c>
      <c r="D71" s="9">
        <f>ROUND(D70*0.1,2)</f>
        <v>3.68</v>
      </c>
      <c r="E71" s="33"/>
      <c r="F71" s="33"/>
      <c r="G71" s="4"/>
      <c r="H71" s="4"/>
      <c r="I71" s="4"/>
      <c r="J71" s="337"/>
      <c r="K71" s="338"/>
      <c r="L71" s="338"/>
      <c r="M71" s="338"/>
      <c r="N71" s="338"/>
      <c r="O71" s="339"/>
    </row>
    <row r="72" spans="1:51" s="25" customFormat="1" ht="14.25">
      <c r="A72" s="19" t="s">
        <v>1531</v>
      </c>
      <c r="B72" s="24" t="s">
        <v>92</v>
      </c>
      <c r="C72" s="13" t="s">
        <v>26</v>
      </c>
      <c r="D72" s="9">
        <f>ROUND(D71*0.97,2)</f>
        <v>3.57</v>
      </c>
      <c r="E72" s="36"/>
      <c r="F72" s="36"/>
      <c r="G72" s="4"/>
      <c r="H72" s="4"/>
      <c r="I72" s="4"/>
      <c r="J72" s="337"/>
      <c r="K72" s="338"/>
      <c r="L72" s="338"/>
      <c r="M72" s="338"/>
      <c r="N72" s="338"/>
      <c r="O72" s="339"/>
    </row>
    <row r="73" spans="1:51" s="25" customFormat="1" ht="14.25">
      <c r="A73" s="19" t="s">
        <v>1532</v>
      </c>
      <c r="B73" s="24" t="s">
        <v>93</v>
      </c>
      <c r="C73" s="13" t="s">
        <v>26</v>
      </c>
      <c r="D73" s="9">
        <f>ROUND(D71*0.18,2)</f>
        <v>0.66</v>
      </c>
      <c r="E73" s="36"/>
      <c r="F73" s="36"/>
      <c r="G73" s="4"/>
      <c r="H73" s="11"/>
      <c r="I73" s="4"/>
      <c r="J73" s="337"/>
      <c r="K73" s="338"/>
      <c r="L73" s="338"/>
      <c r="M73" s="338"/>
      <c r="N73" s="338"/>
      <c r="O73" s="339"/>
    </row>
    <row r="74" spans="1:51" s="25" customFormat="1" ht="14.25">
      <c r="A74" s="19" t="s">
        <v>1533</v>
      </c>
      <c r="B74" s="121" t="s">
        <v>91</v>
      </c>
      <c r="C74" s="13" t="s">
        <v>26</v>
      </c>
      <c r="D74" s="9">
        <f>ROUND(D71*0.09,2)</f>
        <v>0.33</v>
      </c>
      <c r="E74" s="36"/>
      <c r="F74" s="36"/>
      <c r="G74" s="4"/>
      <c r="H74" s="4"/>
      <c r="I74" s="4"/>
      <c r="J74" s="337"/>
      <c r="K74" s="338"/>
      <c r="L74" s="338"/>
      <c r="M74" s="338"/>
      <c r="N74" s="338"/>
      <c r="O74" s="339"/>
    </row>
    <row r="75" spans="1:51" ht="14.25">
      <c r="A75" s="106">
        <v>37</v>
      </c>
      <c r="B75" s="225" t="s">
        <v>893</v>
      </c>
      <c r="C75" s="226" t="s">
        <v>37</v>
      </c>
      <c r="D75" s="9">
        <f>ROUND(12.1/100,2)</f>
        <v>0.12</v>
      </c>
      <c r="E75" s="33"/>
      <c r="F75" s="33"/>
      <c r="G75" s="4"/>
      <c r="H75" s="34"/>
      <c r="I75" s="4"/>
      <c r="J75" s="337"/>
      <c r="K75" s="338"/>
      <c r="L75" s="338"/>
      <c r="M75" s="338"/>
      <c r="N75" s="338"/>
      <c r="O75" s="339"/>
      <c r="P75" s="195"/>
      <c r="Q75" s="195"/>
      <c r="R75" s="196"/>
      <c r="S75" s="196"/>
    </row>
    <row r="76" spans="1:51" s="25" customFormat="1" ht="14.25">
      <c r="A76" s="19" t="s">
        <v>1540</v>
      </c>
      <c r="B76" s="121" t="s">
        <v>91</v>
      </c>
      <c r="C76" s="17" t="s">
        <v>26</v>
      </c>
      <c r="D76" s="9">
        <f>ROUND(D75*1.05*100,2)</f>
        <v>12.6</v>
      </c>
      <c r="E76" s="40"/>
      <c r="F76" s="40"/>
      <c r="G76" s="16"/>
      <c r="H76" s="4"/>
      <c r="I76" s="16"/>
      <c r="J76" s="337"/>
      <c r="K76" s="338"/>
      <c r="L76" s="338"/>
      <c r="M76" s="338"/>
      <c r="N76" s="338"/>
      <c r="O76" s="339"/>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row>
    <row r="77" spans="1:51" s="25" customFormat="1" ht="14.25">
      <c r="A77" s="106"/>
      <c r="B77" s="328" t="s">
        <v>895</v>
      </c>
      <c r="C77" s="13" t="s">
        <v>174</v>
      </c>
      <c r="D77" s="9"/>
      <c r="E77" s="33"/>
      <c r="F77" s="33"/>
      <c r="G77" s="4"/>
      <c r="H77" s="4"/>
      <c r="I77" s="4"/>
      <c r="J77" s="4"/>
      <c r="K77" s="4"/>
      <c r="L77" s="4"/>
      <c r="M77" s="4"/>
      <c r="N77" s="4"/>
      <c r="O77" s="20"/>
      <c r="P77" s="117"/>
      <c r="Q77" s="117"/>
    </row>
    <row r="78" spans="1:51" ht="14.25">
      <c r="A78" s="106">
        <v>38</v>
      </c>
      <c r="B78" s="225" t="s">
        <v>896</v>
      </c>
      <c r="C78" s="226" t="s">
        <v>26</v>
      </c>
      <c r="D78" s="9">
        <f>ROUND(296.94*0.1,2)</f>
        <v>29.69</v>
      </c>
      <c r="E78" s="33"/>
      <c r="F78" s="33"/>
      <c r="G78" s="4"/>
      <c r="H78" s="33"/>
      <c r="I78" s="4"/>
      <c r="J78" s="337"/>
      <c r="K78" s="338"/>
      <c r="L78" s="338"/>
      <c r="M78" s="338"/>
      <c r="N78" s="338"/>
      <c r="O78" s="339"/>
      <c r="P78" s="195"/>
      <c r="Q78" s="195"/>
      <c r="R78" s="196"/>
      <c r="S78" s="196"/>
    </row>
    <row r="79" spans="1:51" s="25" customFormat="1" ht="14.25">
      <c r="A79" s="19" t="s">
        <v>1541</v>
      </c>
      <c r="B79" s="118" t="s">
        <v>1066</v>
      </c>
      <c r="C79" s="226" t="s">
        <v>26</v>
      </c>
      <c r="D79" s="9">
        <f>ROUND(D78*1.08,2)</f>
        <v>32.07</v>
      </c>
      <c r="E79" s="33"/>
      <c r="F79" s="33"/>
      <c r="G79" s="33"/>
      <c r="H79" s="100"/>
      <c r="I79" s="33"/>
      <c r="J79" s="337"/>
      <c r="K79" s="338"/>
      <c r="L79" s="338"/>
      <c r="M79" s="338"/>
      <c r="N79" s="338"/>
      <c r="O79" s="339"/>
      <c r="P79" s="205"/>
      <c r="Q79" s="33"/>
    </row>
    <row r="80" spans="1:51" s="25" customFormat="1" ht="14.25">
      <c r="A80" s="19" t="s">
        <v>1542</v>
      </c>
      <c r="B80" s="24" t="s">
        <v>341</v>
      </c>
      <c r="C80" s="13" t="s">
        <v>30</v>
      </c>
      <c r="D80" s="10">
        <v>1</v>
      </c>
      <c r="E80" s="36"/>
      <c r="F80" s="4"/>
      <c r="G80" s="4"/>
      <c r="H80" s="129"/>
      <c r="I80" s="4"/>
      <c r="J80" s="337"/>
      <c r="K80" s="338"/>
      <c r="L80" s="338"/>
      <c r="M80" s="338"/>
      <c r="N80" s="338"/>
      <c r="O80" s="339"/>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row>
    <row r="81" spans="1:51" s="25" customFormat="1" ht="14.25">
      <c r="A81" s="19" t="s">
        <v>1543</v>
      </c>
      <c r="B81" s="24" t="s">
        <v>319</v>
      </c>
      <c r="C81" s="13" t="s">
        <v>30</v>
      </c>
      <c r="D81" s="10">
        <v>1</v>
      </c>
      <c r="E81" s="36"/>
      <c r="F81" s="4"/>
      <c r="G81" s="4"/>
      <c r="H81" s="4"/>
      <c r="I81" s="4"/>
      <c r="J81" s="337"/>
      <c r="K81" s="338"/>
      <c r="L81" s="338"/>
      <c r="M81" s="338"/>
      <c r="N81" s="338"/>
      <c r="O81" s="339"/>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row>
    <row r="82" spans="1:51" s="25" customFormat="1" ht="14.25">
      <c r="A82" s="19" t="s">
        <v>1544</v>
      </c>
      <c r="B82" s="118" t="s">
        <v>320</v>
      </c>
      <c r="C82" s="226" t="s">
        <v>321</v>
      </c>
      <c r="D82" s="9">
        <f>ROUND(D78/15,2)</f>
        <v>1.98</v>
      </c>
      <c r="E82" s="33"/>
      <c r="F82" s="33"/>
      <c r="G82" s="33"/>
      <c r="H82" s="4"/>
      <c r="I82" s="33"/>
      <c r="J82" s="337"/>
      <c r="K82" s="338"/>
      <c r="L82" s="338"/>
      <c r="M82" s="338"/>
      <c r="N82" s="338"/>
      <c r="O82" s="339"/>
      <c r="P82" s="205"/>
      <c r="Q82" s="33"/>
    </row>
    <row r="83" spans="1:51" ht="14.25">
      <c r="A83" s="106">
        <v>39</v>
      </c>
      <c r="B83" s="225" t="s">
        <v>897</v>
      </c>
      <c r="C83" s="116" t="s">
        <v>26</v>
      </c>
      <c r="D83" s="9">
        <f>ROUND(300.98*0.12,2)</f>
        <v>36.119999999999997</v>
      </c>
      <c r="E83" s="33"/>
      <c r="F83" s="33"/>
      <c r="G83" s="4"/>
      <c r="H83" s="4"/>
      <c r="I83" s="4"/>
      <c r="J83" s="337"/>
      <c r="K83" s="338"/>
      <c r="L83" s="338"/>
      <c r="M83" s="338"/>
      <c r="N83" s="338"/>
      <c r="O83" s="339"/>
      <c r="P83" s="195"/>
      <c r="Q83" s="195"/>
      <c r="R83" s="196"/>
      <c r="S83" s="196"/>
    </row>
    <row r="84" spans="1:51" s="25" customFormat="1" ht="14.25">
      <c r="A84" s="19" t="s">
        <v>1545</v>
      </c>
      <c r="B84" s="24" t="s">
        <v>92</v>
      </c>
      <c r="C84" s="13" t="s">
        <v>26</v>
      </c>
      <c r="D84" s="9">
        <f>ROUND(D83*1.25,2)</f>
        <v>45.15</v>
      </c>
      <c r="E84" s="36"/>
      <c r="F84" s="36"/>
      <c r="G84" s="4"/>
      <c r="H84" s="4"/>
      <c r="I84" s="4"/>
      <c r="J84" s="337"/>
      <c r="K84" s="338"/>
      <c r="L84" s="338"/>
      <c r="M84" s="338"/>
      <c r="N84" s="338"/>
      <c r="O84" s="339"/>
    </row>
    <row r="85" spans="1:51" s="25" customFormat="1" ht="14.25">
      <c r="A85" s="106"/>
      <c r="B85" s="180" t="s">
        <v>898</v>
      </c>
      <c r="C85" s="13"/>
      <c r="D85" s="9"/>
      <c r="E85" s="33"/>
      <c r="F85" s="33"/>
      <c r="G85" s="4"/>
      <c r="H85" s="4"/>
      <c r="I85" s="4"/>
      <c r="J85" s="4"/>
      <c r="K85" s="4"/>
      <c r="L85" s="4"/>
      <c r="M85" s="4"/>
      <c r="N85" s="4"/>
      <c r="O85" s="20"/>
      <c r="P85" s="117"/>
      <c r="Q85" s="117"/>
    </row>
    <row r="86" spans="1:51" s="25" customFormat="1" ht="14.25">
      <c r="A86" s="106"/>
      <c r="B86" s="180" t="s">
        <v>899</v>
      </c>
      <c r="C86" s="13"/>
      <c r="D86" s="9"/>
      <c r="E86" s="33"/>
      <c r="F86" s="33"/>
      <c r="G86" s="4"/>
      <c r="H86" s="4"/>
      <c r="I86" s="4"/>
      <c r="J86" s="4"/>
      <c r="K86" s="4"/>
      <c r="L86" s="4"/>
      <c r="M86" s="4"/>
      <c r="N86" s="4"/>
      <c r="O86" s="20"/>
      <c r="P86" s="117"/>
      <c r="Q86" s="117"/>
    </row>
    <row r="87" spans="1:51" ht="14.25">
      <c r="A87" s="106">
        <v>40</v>
      </c>
      <c r="B87" s="225" t="s">
        <v>900</v>
      </c>
      <c r="C87" s="116" t="s">
        <v>42</v>
      </c>
      <c r="D87" s="14">
        <v>14</v>
      </c>
      <c r="E87" s="9"/>
      <c r="F87" s="33"/>
      <c r="G87" s="4"/>
      <c r="H87" s="4"/>
      <c r="I87" s="4"/>
      <c r="J87" s="337"/>
      <c r="K87" s="338"/>
      <c r="L87" s="338"/>
      <c r="M87" s="338"/>
      <c r="N87" s="338"/>
      <c r="O87" s="339"/>
      <c r="P87" s="195"/>
      <c r="Q87" s="195"/>
      <c r="R87" s="196"/>
      <c r="S87" s="196"/>
    </row>
    <row r="88" spans="1:51" ht="24">
      <c r="A88" s="106">
        <f t="shared" ref="A88:A94" si="1">A87+1</f>
        <v>41</v>
      </c>
      <c r="B88" s="225" t="s">
        <v>1209</v>
      </c>
      <c r="C88" s="116" t="s">
        <v>14</v>
      </c>
      <c r="D88" s="9">
        <v>23.1</v>
      </c>
      <c r="E88" s="33"/>
      <c r="F88" s="33"/>
      <c r="G88" s="4"/>
      <c r="H88" s="4"/>
      <c r="I88" s="4"/>
      <c r="J88" s="337"/>
      <c r="K88" s="338"/>
      <c r="L88" s="338"/>
      <c r="M88" s="338"/>
      <c r="N88" s="338"/>
      <c r="O88" s="339"/>
      <c r="P88" s="195"/>
      <c r="Q88" s="195"/>
      <c r="R88" s="196"/>
      <c r="S88" s="196"/>
    </row>
    <row r="89" spans="1:51" s="25" customFormat="1" ht="14.25">
      <c r="A89" s="19" t="s">
        <v>1546</v>
      </c>
      <c r="B89" s="121" t="s">
        <v>91</v>
      </c>
      <c r="C89" s="17" t="s">
        <v>26</v>
      </c>
      <c r="D89" s="9">
        <f>ROUND(D88*1.05*0.2,2)</f>
        <v>4.8499999999999996</v>
      </c>
      <c r="E89" s="40"/>
      <c r="F89" s="40"/>
      <c r="G89" s="16"/>
      <c r="H89" s="4"/>
      <c r="I89" s="16"/>
      <c r="J89" s="337"/>
      <c r="K89" s="338"/>
      <c r="L89" s="338"/>
      <c r="M89" s="338"/>
      <c r="N89" s="338"/>
      <c r="O89" s="339"/>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row>
    <row r="90" spans="1:51" ht="24">
      <c r="A90" s="106">
        <v>42</v>
      </c>
      <c r="B90" s="225" t="s">
        <v>901</v>
      </c>
      <c r="C90" s="116" t="s">
        <v>42</v>
      </c>
      <c r="D90" s="14">
        <v>4</v>
      </c>
      <c r="E90" s="9"/>
      <c r="F90" s="33"/>
      <c r="G90" s="4"/>
      <c r="H90" s="4"/>
      <c r="I90" s="4"/>
      <c r="J90" s="337"/>
      <c r="K90" s="338"/>
      <c r="L90" s="338"/>
      <c r="M90" s="338"/>
      <c r="N90" s="338"/>
      <c r="O90" s="339"/>
      <c r="P90" s="195"/>
      <c r="Q90" s="195"/>
      <c r="R90" s="196"/>
      <c r="S90" s="196"/>
    </row>
    <row r="91" spans="1:51" ht="24">
      <c r="A91" s="106">
        <f t="shared" si="1"/>
        <v>43</v>
      </c>
      <c r="B91" s="225" t="s">
        <v>1209</v>
      </c>
      <c r="C91" s="116" t="s">
        <v>14</v>
      </c>
      <c r="D91" s="9">
        <v>5.5</v>
      </c>
      <c r="E91" s="33"/>
      <c r="F91" s="33"/>
      <c r="G91" s="4"/>
      <c r="H91" s="4"/>
      <c r="I91" s="4"/>
      <c r="J91" s="337"/>
      <c r="K91" s="338"/>
      <c r="L91" s="338"/>
      <c r="M91" s="338"/>
      <c r="N91" s="338"/>
      <c r="O91" s="339"/>
      <c r="P91" s="195"/>
      <c r="Q91" s="195"/>
      <c r="R91" s="196"/>
      <c r="S91" s="196"/>
    </row>
    <row r="92" spans="1:51" s="25" customFormat="1" ht="14.25">
      <c r="A92" s="19" t="s">
        <v>1547</v>
      </c>
      <c r="B92" s="121" t="s">
        <v>91</v>
      </c>
      <c r="C92" s="17" t="s">
        <v>26</v>
      </c>
      <c r="D92" s="9">
        <f>ROUND(D91*1.05*0.2,2)</f>
        <v>1.1599999999999999</v>
      </c>
      <c r="E92" s="40"/>
      <c r="F92" s="40"/>
      <c r="G92" s="16"/>
      <c r="H92" s="4"/>
      <c r="I92" s="16"/>
      <c r="J92" s="337"/>
      <c r="K92" s="338"/>
      <c r="L92" s="338"/>
      <c r="M92" s="338"/>
      <c r="N92" s="338"/>
      <c r="O92" s="339"/>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c r="AU92" s="197"/>
      <c r="AV92" s="197"/>
      <c r="AW92" s="197"/>
      <c r="AX92" s="197"/>
      <c r="AY92" s="197"/>
    </row>
    <row r="93" spans="1:51" ht="24">
      <c r="A93" s="106">
        <v>44</v>
      </c>
      <c r="B93" s="225" t="s">
        <v>902</v>
      </c>
      <c r="C93" s="116" t="s">
        <v>42</v>
      </c>
      <c r="D93" s="14">
        <v>8</v>
      </c>
      <c r="E93" s="9"/>
      <c r="F93" s="33"/>
      <c r="G93" s="4"/>
      <c r="H93" s="4"/>
      <c r="I93" s="4"/>
      <c r="J93" s="337"/>
      <c r="K93" s="338"/>
      <c r="L93" s="338"/>
      <c r="M93" s="338"/>
      <c r="N93" s="338"/>
      <c r="O93" s="339"/>
      <c r="P93" s="195"/>
      <c r="Q93" s="195"/>
      <c r="R93" s="196"/>
      <c r="S93" s="196"/>
    </row>
    <row r="94" spans="1:51" ht="24">
      <c r="A94" s="106">
        <f t="shared" si="1"/>
        <v>45</v>
      </c>
      <c r="B94" s="225" t="s">
        <v>1210</v>
      </c>
      <c r="C94" s="116" t="s">
        <v>14</v>
      </c>
      <c r="D94" s="9">
        <v>16.5</v>
      </c>
      <c r="E94" s="33"/>
      <c r="F94" s="33"/>
      <c r="G94" s="4"/>
      <c r="H94" s="4"/>
      <c r="I94" s="4"/>
      <c r="J94" s="337"/>
      <c r="K94" s="338"/>
      <c r="L94" s="338"/>
      <c r="M94" s="338"/>
      <c r="N94" s="338"/>
      <c r="O94" s="339"/>
      <c r="P94" s="195"/>
      <c r="Q94" s="195"/>
      <c r="R94" s="196"/>
      <c r="S94" s="196"/>
    </row>
    <row r="95" spans="1:51" s="25" customFormat="1" ht="14.25">
      <c r="A95" s="19" t="s">
        <v>1548</v>
      </c>
      <c r="B95" s="121" t="s">
        <v>91</v>
      </c>
      <c r="C95" s="17" t="s">
        <v>26</v>
      </c>
      <c r="D95" s="9">
        <f>ROUND(D94*1.05*0.3,2)</f>
        <v>5.2</v>
      </c>
      <c r="E95" s="40"/>
      <c r="F95" s="40"/>
      <c r="G95" s="16"/>
      <c r="H95" s="4"/>
      <c r="I95" s="16"/>
      <c r="J95" s="337"/>
      <c r="K95" s="338"/>
      <c r="L95" s="338"/>
      <c r="M95" s="338"/>
      <c r="N95" s="338"/>
      <c r="O95" s="339"/>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row>
    <row r="96" spans="1:51" ht="48">
      <c r="A96" s="106">
        <v>46</v>
      </c>
      <c r="B96" s="225" t="s">
        <v>1211</v>
      </c>
      <c r="C96" s="99" t="s">
        <v>14</v>
      </c>
      <c r="D96" s="9">
        <v>4.55</v>
      </c>
      <c r="E96" s="313"/>
      <c r="F96" s="33"/>
      <c r="G96" s="4"/>
      <c r="H96" s="108"/>
      <c r="I96" s="4"/>
      <c r="J96" s="337"/>
      <c r="K96" s="338"/>
      <c r="L96" s="338"/>
      <c r="M96" s="338"/>
      <c r="N96" s="338"/>
      <c r="O96" s="339"/>
      <c r="P96" s="195"/>
      <c r="Q96" s="195"/>
      <c r="R96" s="196"/>
      <c r="S96" s="196"/>
    </row>
    <row r="97" spans="1:51" s="25" customFormat="1" ht="14.25">
      <c r="A97" s="106"/>
      <c r="B97" s="180" t="s">
        <v>903</v>
      </c>
      <c r="C97" s="13"/>
      <c r="D97" s="9"/>
      <c r="E97" s="33"/>
      <c r="F97" s="33"/>
      <c r="G97" s="4"/>
      <c r="H97" s="4"/>
      <c r="I97" s="4"/>
      <c r="J97" s="4"/>
      <c r="K97" s="4"/>
      <c r="L97" s="4"/>
      <c r="M97" s="4"/>
      <c r="N97" s="4"/>
      <c r="O97" s="20"/>
      <c r="P97" s="117"/>
      <c r="Q97" s="117"/>
    </row>
    <row r="98" spans="1:51" ht="14.25">
      <c r="A98" s="106">
        <v>47</v>
      </c>
      <c r="B98" s="225" t="s">
        <v>1212</v>
      </c>
      <c r="C98" s="13" t="s">
        <v>278</v>
      </c>
      <c r="D98" s="9">
        <v>44.72</v>
      </c>
      <c r="E98" s="9"/>
      <c r="F98" s="33"/>
      <c r="G98" s="4"/>
      <c r="H98" s="4"/>
      <c r="I98" s="4"/>
      <c r="J98" s="337"/>
      <c r="K98" s="338"/>
      <c r="L98" s="338"/>
      <c r="M98" s="338"/>
      <c r="N98" s="338"/>
      <c r="O98" s="339"/>
      <c r="P98" s="195"/>
      <c r="Q98" s="195"/>
      <c r="R98" s="196"/>
      <c r="S98" s="196"/>
    </row>
    <row r="99" spans="1:51" s="25" customFormat="1" ht="14.25">
      <c r="A99" s="106"/>
      <c r="B99" s="180" t="s">
        <v>904</v>
      </c>
      <c r="C99" s="13"/>
      <c r="D99" s="9"/>
      <c r="E99" s="33"/>
      <c r="F99" s="33"/>
      <c r="G99" s="4"/>
      <c r="H99" s="4"/>
      <c r="I99" s="4"/>
      <c r="J99" s="4"/>
      <c r="K99" s="4"/>
      <c r="L99" s="4"/>
      <c r="M99" s="4"/>
      <c r="N99" s="4"/>
      <c r="O99" s="20"/>
      <c r="P99" s="117"/>
      <c r="Q99" s="117"/>
    </row>
    <row r="100" spans="1:51" s="25" customFormat="1" ht="14.25">
      <c r="A100" s="106"/>
      <c r="B100" s="180" t="s">
        <v>1087</v>
      </c>
      <c r="C100" s="13"/>
      <c r="D100" s="9"/>
      <c r="E100" s="33"/>
      <c r="F100" s="33"/>
      <c r="G100" s="4"/>
      <c r="H100" s="4"/>
      <c r="I100" s="4"/>
      <c r="J100" s="4"/>
      <c r="K100" s="4"/>
      <c r="L100" s="4"/>
      <c r="M100" s="4"/>
      <c r="N100" s="4"/>
      <c r="O100" s="20"/>
      <c r="P100" s="117"/>
      <c r="Q100" s="117"/>
    </row>
    <row r="101" spans="1:51" ht="14.25">
      <c r="A101" s="106">
        <v>48</v>
      </c>
      <c r="B101" s="225" t="s">
        <v>905</v>
      </c>
      <c r="C101" s="116" t="s">
        <v>14</v>
      </c>
      <c r="D101" s="9">
        <v>129.15</v>
      </c>
      <c r="E101" s="313"/>
      <c r="F101" s="33"/>
      <c r="G101" s="4"/>
      <c r="H101" s="108"/>
      <c r="I101" s="4"/>
      <c r="J101" s="337"/>
      <c r="K101" s="338"/>
      <c r="L101" s="338"/>
      <c r="M101" s="338"/>
      <c r="N101" s="338"/>
      <c r="O101" s="339"/>
      <c r="P101" s="195"/>
      <c r="Q101" s="195"/>
      <c r="R101" s="196"/>
      <c r="S101" s="196"/>
    </row>
    <row r="102" spans="1:51" ht="14.25">
      <c r="A102" s="19" t="s">
        <v>1549</v>
      </c>
      <c r="B102" s="24" t="s">
        <v>905</v>
      </c>
      <c r="C102" s="17" t="s">
        <v>26</v>
      </c>
      <c r="D102" s="9">
        <f>ROUND(D101*1.05*0.55,2)</f>
        <v>74.58</v>
      </c>
      <c r="E102" s="33"/>
      <c r="F102" s="33"/>
      <c r="G102" s="4"/>
      <c r="H102" s="4"/>
      <c r="I102" s="4"/>
      <c r="J102" s="337"/>
      <c r="K102" s="338"/>
      <c r="L102" s="338"/>
      <c r="M102" s="338"/>
      <c r="N102" s="338"/>
      <c r="O102" s="339"/>
      <c r="P102" s="195"/>
      <c r="Q102" s="195"/>
      <c r="R102" s="196"/>
      <c r="S102" s="196"/>
    </row>
    <row r="103" spans="1:51" ht="14.25">
      <c r="A103" s="106">
        <v>49</v>
      </c>
      <c r="B103" s="225" t="s">
        <v>1213</v>
      </c>
      <c r="C103" s="116" t="s">
        <v>14</v>
      </c>
      <c r="D103" s="9">
        <v>1282.9823999999999</v>
      </c>
      <c r="E103" s="313"/>
      <c r="F103" s="33"/>
      <c r="G103" s="4"/>
      <c r="H103" s="108"/>
      <c r="I103" s="4"/>
      <c r="J103" s="337"/>
      <c r="K103" s="338"/>
      <c r="L103" s="338"/>
      <c r="M103" s="338"/>
      <c r="N103" s="338"/>
      <c r="O103" s="339"/>
      <c r="P103" s="195"/>
      <c r="Q103" s="195"/>
      <c r="R103" s="196"/>
      <c r="S103" s="196"/>
    </row>
    <row r="104" spans="1:51" s="25" customFormat="1" ht="14.25">
      <c r="A104" s="19" t="s">
        <v>1550</v>
      </c>
      <c r="B104" s="24" t="s">
        <v>1093</v>
      </c>
      <c r="C104" s="99" t="s">
        <v>14</v>
      </c>
      <c r="D104" s="100">
        <f>ROUND(D103*1.15,2)</f>
        <v>1475.43</v>
      </c>
      <c r="E104" s="4"/>
      <c r="F104" s="4"/>
      <c r="G104" s="4"/>
      <c r="H104" s="4"/>
      <c r="I104" s="4"/>
      <c r="J104" s="337"/>
      <c r="K104" s="338"/>
      <c r="L104" s="338"/>
      <c r="M104" s="338"/>
      <c r="N104" s="338"/>
      <c r="O104" s="339"/>
    </row>
    <row r="105" spans="1:51" ht="14.25">
      <c r="A105" s="106">
        <v>50</v>
      </c>
      <c r="B105" s="225" t="s">
        <v>1214</v>
      </c>
      <c r="C105" s="116" t="s">
        <v>26</v>
      </c>
      <c r="D105" s="9">
        <v>25.080000000000002</v>
      </c>
      <c r="E105" s="33"/>
      <c r="F105" s="33"/>
      <c r="G105" s="4"/>
      <c r="H105" s="4"/>
      <c r="I105" s="4"/>
      <c r="J105" s="337"/>
      <c r="K105" s="338"/>
      <c r="L105" s="338"/>
      <c r="M105" s="338"/>
      <c r="N105" s="338"/>
      <c r="O105" s="339"/>
      <c r="P105" s="195"/>
      <c r="Q105" s="195"/>
      <c r="R105" s="196"/>
      <c r="S105" s="196"/>
    </row>
    <row r="106" spans="1:51" s="25" customFormat="1" ht="14.25">
      <c r="A106" s="19" t="s">
        <v>1551</v>
      </c>
      <c r="B106" s="121" t="s">
        <v>91</v>
      </c>
      <c r="C106" s="17" t="s">
        <v>26</v>
      </c>
      <c r="D106" s="9">
        <f>ROUND(D105*1.05,2)</f>
        <v>26.33</v>
      </c>
      <c r="E106" s="40"/>
      <c r="F106" s="40"/>
      <c r="G106" s="16"/>
      <c r="H106" s="4"/>
      <c r="I106" s="16"/>
      <c r="J106" s="337"/>
      <c r="K106" s="338"/>
      <c r="L106" s="338"/>
      <c r="M106" s="338"/>
      <c r="N106" s="338"/>
      <c r="O106" s="339"/>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row>
    <row r="107" spans="1:51" s="25" customFormat="1" ht="14.25">
      <c r="A107" s="106"/>
      <c r="B107" s="180" t="s">
        <v>1087</v>
      </c>
      <c r="C107" s="13"/>
      <c r="D107" s="9"/>
      <c r="E107" s="33"/>
      <c r="F107" s="33"/>
      <c r="G107" s="4"/>
      <c r="H107" s="4"/>
      <c r="I107" s="4"/>
      <c r="J107" s="4"/>
      <c r="K107" s="4"/>
      <c r="L107" s="4"/>
      <c r="M107" s="4"/>
      <c r="N107" s="4"/>
      <c r="O107" s="20"/>
      <c r="P107" s="117"/>
      <c r="Q107" s="117"/>
    </row>
    <row r="108" spans="1:51" ht="14.25">
      <c r="A108" s="106">
        <v>51</v>
      </c>
      <c r="B108" s="225" t="s">
        <v>905</v>
      </c>
      <c r="C108" s="116" t="s">
        <v>14</v>
      </c>
      <c r="D108" s="9">
        <v>119.7</v>
      </c>
      <c r="E108" s="313"/>
      <c r="F108" s="33"/>
      <c r="G108" s="4"/>
      <c r="H108" s="108"/>
      <c r="I108" s="4"/>
      <c r="J108" s="337"/>
      <c r="K108" s="338"/>
      <c r="L108" s="338"/>
      <c r="M108" s="338"/>
      <c r="N108" s="338"/>
      <c r="O108" s="339"/>
      <c r="P108" s="195"/>
      <c r="Q108" s="195"/>
      <c r="R108" s="196"/>
      <c r="S108" s="196"/>
    </row>
    <row r="109" spans="1:51" ht="14.25">
      <c r="A109" s="19" t="s">
        <v>1552</v>
      </c>
      <c r="B109" s="24" t="s">
        <v>905</v>
      </c>
      <c r="C109" s="17" t="s">
        <v>26</v>
      </c>
      <c r="D109" s="9">
        <f>ROUND(D108*1.05*0.55,2)</f>
        <v>69.13</v>
      </c>
      <c r="E109" s="33"/>
      <c r="F109" s="33"/>
      <c r="G109" s="4"/>
      <c r="H109" s="4"/>
      <c r="I109" s="4"/>
      <c r="J109" s="337"/>
      <c r="K109" s="338"/>
      <c r="L109" s="338"/>
      <c r="M109" s="338"/>
      <c r="N109" s="338"/>
      <c r="O109" s="339"/>
      <c r="P109" s="195"/>
      <c r="Q109" s="195"/>
      <c r="R109" s="196"/>
      <c r="S109" s="196"/>
    </row>
    <row r="110" spans="1:51" ht="14.25">
      <c r="A110" s="106">
        <v>52</v>
      </c>
      <c r="B110" s="225" t="s">
        <v>1213</v>
      </c>
      <c r="C110" s="116" t="s">
        <v>14</v>
      </c>
      <c r="D110" s="9">
        <v>1226.3327999999999</v>
      </c>
      <c r="E110" s="33"/>
      <c r="F110" s="4"/>
      <c r="G110" s="4"/>
      <c r="H110" s="34"/>
      <c r="I110" s="4"/>
      <c r="J110" s="337"/>
      <c r="K110" s="338"/>
      <c r="L110" s="338"/>
      <c r="M110" s="338"/>
      <c r="N110" s="338"/>
      <c r="O110" s="339"/>
      <c r="P110" s="195"/>
      <c r="Q110" s="195"/>
      <c r="R110" s="196"/>
      <c r="S110" s="196"/>
    </row>
    <row r="111" spans="1:51" s="25" customFormat="1" ht="14.25">
      <c r="A111" s="19" t="s">
        <v>1553</v>
      </c>
      <c r="B111" s="24" t="s">
        <v>1093</v>
      </c>
      <c r="C111" s="99" t="s">
        <v>14</v>
      </c>
      <c r="D111" s="100">
        <f>ROUND(D110*1.15,2)</f>
        <v>1410.28</v>
      </c>
      <c r="E111" s="4"/>
      <c r="F111" s="4"/>
      <c r="G111" s="4"/>
      <c r="H111" s="4"/>
      <c r="I111" s="4"/>
      <c r="J111" s="337"/>
      <c r="K111" s="338"/>
      <c r="L111" s="338"/>
      <c r="M111" s="338"/>
      <c r="N111" s="338"/>
      <c r="O111" s="339"/>
    </row>
    <row r="112" spans="1:51" ht="14.25">
      <c r="A112" s="106">
        <v>53</v>
      </c>
      <c r="B112" s="225" t="s">
        <v>1214</v>
      </c>
      <c r="C112" s="116" t="s">
        <v>26</v>
      </c>
      <c r="D112" s="9">
        <v>28.034000000000006</v>
      </c>
      <c r="E112" s="33"/>
      <c r="F112" s="33"/>
      <c r="G112" s="4"/>
      <c r="H112" s="4"/>
      <c r="I112" s="4"/>
      <c r="J112" s="337"/>
      <c r="K112" s="338"/>
      <c r="L112" s="338"/>
      <c r="M112" s="338"/>
      <c r="N112" s="338"/>
      <c r="O112" s="339"/>
      <c r="P112" s="195"/>
      <c r="Q112" s="195"/>
      <c r="R112" s="196"/>
      <c r="S112" s="196"/>
    </row>
    <row r="113" spans="1:51" s="25" customFormat="1" ht="14.25">
      <c r="A113" s="19" t="s">
        <v>1554</v>
      </c>
      <c r="B113" s="121" t="s">
        <v>91</v>
      </c>
      <c r="C113" s="17" t="s">
        <v>26</v>
      </c>
      <c r="D113" s="9">
        <f>ROUND(D112*1.05,2)</f>
        <v>29.44</v>
      </c>
      <c r="E113" s="40"/>
      <c r="F113" s="40"/>
      <c r="G113" s="16"/>
      <c r="H113" s="4"/>
      <c r="I113" s="16"/>
      <c r="J113" s="337"/>
      <c r="K113" s="338"/>
      <c r="L113" s="338"/>
      <c r="M113" s="338"/>
      <c r="N113" s="338"/>
      <c r="O113" s="339"/>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197"/>
      <c r="AU113" s="197"/>
      <c r="AV113" s="197"/>
      <c r="AW113" s="197"/>
      <c r="AX113" s="197"/>
      <c r="AY113" s="197"/>
    </row>
    <row r="114" spans="1:51" s="25" customFormat="1" ht="14.25">
      <c r="A114" s="106"/>
      <c r="B114" s="180" t="s">
        <v>297</v>
      </c>
      <c r="C114" s="13" t="s">
        <v>174</v>
      </c>
      <c r="D114" s="9"/>
      <c r="E114" s="33"/>
      <c r="F114" s="33"/>
      <c r="G114" s="4"/>
      <c r="H114" s="4"/>
      <c r="I114" s="4"/>
      <c r="J114" s="4"/>
      <c r="K114" s="4"/>
      <c r="L114" s="4"/>
      <c r="M114" s="4"/>
      <c r="N114" s="4"/>
      <c r="O114" s="20"/>
      <c r="P114" s="117"/>
      <c r="Q114" s="117"/>
    </row>
    <row r="115" spans="1:51" ht="36">
      <c r="A115" s="106">
        <v>54</v>
      </c>
      <c r="B115" s="225" t="s">
        <v>906</v>
      </c>
      <c r="C115" s="13" t="s">
        <v>42</v>
      </c>
      <c r="D115" s="9">
        <v>385.56</v>
      </c>
      <c r="E115" s="9"/>
      <c r="F115" s="33"/>
      <c r="G115" s="4"/>
      <c r="H115" s="316"/>
      <c r="I115" s="4"/>
      <c r="J115" s="337"/>
      <c r="K115" s="338"/>
      <c r="L115" s="338"/>
      <c r="M115" s="338"/>
      <c r="N115" s="338"/>
      <c r="O115" s="339"/>
      <c r="P115" s="195"/>
      <c r="Q115" s="195"/>
      <c r="R115" s="196"/>
      <c r="S115" s="196"/>
    </row>
    <row r="116" spans="1:51" s="220" customFormat="1" ht="12" customHeight="1">
      <c r="A116" s="19" t="s">
        <v>1555</v>
      </c>
      <c r="B116" s="317" t="s">
        <v>1179</v>
      </c>
      <c r="C116" s="17" t="s">
        <v>26</v>
      </c>
      <c r="D116" s="9">
        <f>D115*0.3*0.15*2.3</f>
        <v>39.905459999999991</v>
      </c>
      <c r="E116" s="313"/>
      <c r="F116" s="33"/>
      <c r="G116" s="4"/>
      <c r="H116" s="108"/>
      <c r="I116" s="4"/>
      <c r="J116" s="337"/>
      <c r="K116" s="338"/>
      <c r="L116" s="338"/>
      <c r="M116" s="338"/>
      <c r="N116" s="338"/>
      <c r="O116" s="339"/>
    </row>
    <row r="117" spans="1:51" s="220" customFormat="1" ht="12" customHeight="1">
      <c r="A117" s="19" t="s">
        <v>1556</v>
      </c>
      <c r="B117" s="317" t="s">
        <v>1091</v>
      </c>
      <c r="C117" s="17" t="s">
        <v>26</v>
      </c>
      <c r="D117" s="9">
        <f>D115*0.1*0.35</f>
        <v>13.4946</v>
      </c>
      <c r="E117" s="313"/>
      <c r="F117" s="33"/>
      <c r="G117" s="4"/>
      <c r="H117" s="108"/>
      <c r="I117" s="4"/>
      <c r="J117" s="337"/>
      <c r="K117" s="338"/>
      <c r="L117" s="338"/>
      <c r="M117" s="338"/>
      <c r="N117" s="338"/>
      <c r="O117" s="339"/>
    </row>
    <row r="118" spans="1:51" s="220" customFormat="1" ht="12" customHeight="1">
      <c r="A118" s="19" t="s">
        <v>1557</v>
      </c>
      <c r="B118" s="191" t="s">
        <v>1092</v>
      </c>
      <c r="C118" s="17" t="s">
        <v>26</v>
      </c>
      <c r="D118" s="9">
        <f>D115*0.325*0.05</f>
        <v>6.2653500000000006</v>
      </c>
      <c r="E118" s="329"/>
      <c r="F118" s="33"/>
      <c r="G118" s="4"/>
      <c r="H118" s="4"/>
      <c r="I118" s="4"/>
      <c r="J118" s="337"/>
      <c r="K118" s="338"/>
      <c r="L118" s="338"/>
      <c r="M118" s="338"/>
      <c r="N118" s="338"/>
      <c r="O118" s="339"/>
    </row>
    <row r="119" spans="1:51" ht="36">
      <c r="A119" s="106">
        <v>55</v>
      </c>
      <c r="B119" s="225" t="s">
        <v>907</v>
      </c>
      <c r="C119" s="13" t="s">
        <v>42</v>
      </c>
      <c r="D119" s="9">
        <v>35.700000000000003</v>
      </c>
      <c r="E119" s="9"/>
      <c r="F119" s="33"/>
      <c r="G119" s="4"/>
      <c r="H119" s="316"/>
      <c r="I119" s="4"/>
      <c r="J119" s="337"/>
      <c r="K119" s="338"/>
      <c r="L119" s="338"/>
      <c r="M119" s="338"/>
      <c r="N119" s="338"/>
      <c r="O119" s="339"/>
      <c r="P119" s="195"/>
      <c r="Q119" s="195"/>
      <c r="R119" s="196"/>
      <c r="S119" s="196"/>
    </row>
    <row r="120" spans="1:51" s="220" customFormat="1" ht="12" customHeight="1">
      <c r="A120" s="19" t="s">
        <v>1558</v>
      </c>
      <c r="B120" s="317" t="s">
        <v>1179</v>
      </c>
      <c r="C120" s="17" t="s">
        <v>26</v>
      </c>
      <c r="D120" s="9">
        <f>D119*0.22*0.15*2.3</f>
        <v>2.7096300000000002</v>
      </c>
      <c r="E120" s="313"/>
      <c r="F120" s="33"/>
      <c r="G120" s="4"/>
      <c r="H120" s="108"/>
      <c r="I120" s="4"/>
      <c r="J120" s="337"/>
      <c r="K120" s="338"/>
      <c r="L120" s="338"/>
      <c r="M120" s="338"/>
      <c r="N120" s="338"/>
      <c r="O120" s="339"/>
    </row>
    <row r="121" spans="1:51" s="220" customFormat="1" ht="12" customHeight="1">
      <c r="A121" s="19" t="s">
        <v>1559</v>
      </c>
      <c r="B121" s="317" t="s">
        <v>1091</v>
      </c>
      <c r="C121" s="17" t="s">
        <v>26</v>
      </c>
      <c r="D121" s="9">
        <f>D119*0.1*0.35</f>
        <v>1.2495000000000001</v>
      </c>
      <c r="E121" s="313"/>
      <c r="F121" s="33"/>
      <c r="G121" s="4"/>
      <c r="H121" s="108"/>
      <c r="I121" s="4"/>
      <c r="J121" s="337"/>
      <c r="K121" s="338"/>
      <c r="L121" s="338"/>
      <c r="M121" s="338"/>
      <c r="N121" s="338"/>
      <c r="O121" s="339"/>
    </row>
    <row r="122" spans="1:51" s="220" customFormat="1" ht="12" customHeight="1">
      <c r="A122" s="19" t="s">
        <v>1560</v>
      </c>
      <c r="B122" s="191" t="s">
        <v>1092</v>
      </c>
      <c r="C122" s="17" t="s">
        <v>26</v>
      </c>
      <c r="D122" s="9">
        <f>D119*0.325*0.05</f>
        <v>0.58012500000000011</v>
      </c>
      <c r="E122" s="329"/>
      <c r="F122" s="33"/>
      <c r="G122" s="4"/>
      <c r="H122" s="4"/>
      <c r="I122" s="4"/>
      <c r="J122" s="337"/>
      <c r="K122" s="338"/>
      <c r="L122" s="338"/>
      <c r="M122" s="338"/>
      <c r="N122" s="338"/>
      <c r="O122" s="339"/>
    </row>
    <row r="123" spans="1:51" ht="48">
      <c r="A123" s="106">
        <v>56</v>
      </c>
      <c r="B123" s="225" t="s">
        <v>1215</v>
      </c>
      <c r="C123" s="13" t="s">
        <v>42</v>
      </c>
      <c r="D123" s="9">
        <v>442.53999999999996</v>
      </c>
      <c r="E123" s="9"/>
      <c r="F123" s="33"/>
      <c r="G123" s="4"/>
      <c r="H123" s="316"/>
      <c r="I123" s="4"/>
      <c r="J123" s="337"/>
      <c r="K123" s="338"/>
      <c r="L123" s="338"/>
      <c r="M123" s="338"/>
      <c r="N123" s="338"/>
      <c r="O123" s="339"/>
      <c r="P123" s="195"/>
      <c r="Q123" s="195"/>
      <c r="R123" s="196"/>
      <c r="S123" s="196"/>
    </row>
    <row r="124" spans="1:51" s="220" customFormat="1" ht="12" customHeight="1">
      <c r="A124" s="19" t="s">
        <v>1561</v>
      </c>
      <c r="B124" s="317" t="s">
        <v>1179</v>
      </c>
      <c r="C124" s="17" t="s">
        <v>26</v>
      </c>
      <c r="D124" s="9">
        <f>D123*0.22*0.15*2.3</f>
        <v>33.588785999999992</v>
      </c>
      <c r="E124" s="313"/>
      <c r="F124" s="33"/>
      <c r="G124" s="4"/>
      <c r="H124" s="108"/>
      <c r="I124" s="4"/>
      <c r="J124" s="337"/>
      <c r="K124" s="338"/>
      <c r="L124" s="338"/>
      <c r="M124" s="338"/>
      <c r="N124" s="338"/>
      <c r="O124" s="339"/>
    </row>
    <row r="125" spans="1:51" s="220" customFormat="1" ht="12" customHeight="1">
      <c r="A125" s="19" t="s">
        <v>1562</v>
      </c>
      <c r="B125" s="317" t="s">
        <v>1091</v>
      </c>
      <c r="C125" s="17" t="s">
        <v>26</v>
      </c>
      <c r="D125" s="9">
        <f>D123*0.1*0.35</f>
        <v>15.488899999999997</v>
      </c>
      <c r="E125" s="313"/>
      <c r="F125" s="33"/>
      <c r="G125" s="4"/>
      <c r="H125" s="108"/>
      <c r="I125" s="4"/>
      <c r="J125" s="337"/>
      <c r="K125" s="338"/>
      <c r="L125" s="338"/>
      <c r="M125" s="338"/>
      <c r="N125" s="338"/>
      <c r="O125" s="339"/>
    </row>
    <row r="126" spans="1:51" s="220" customFormat="1" ht="12" customHeight="1">
      <c r="A126" s="19" t="s">
        <v>1563</v>
      </c>
      <c r="B126" s="191" t="s">
        <v>1092</v>
      </c>
      <c r="C126" s="17" t="s">
        <v>26</v>
      </c>
      <c r="D126" s="9">
        <f>D123*0.325*0.05</f>
        <v>7.191275000000001</v>
      </c>
      <c r="E126" s="329"/>
      <c r="F126" s="33"/>
      <c r="G126" s="4"/>
      <c r="H126" s="4"/>
      <c r="I126" s="4"/>
      <c r="J126" s="337"/>
      <c r="K126" s="338"/>
      <c r="L126" s="338"/>
      <c r="M126" s="338"/>
      <c r="N126" s="338"/>
      <c r="O126" s="339"/>
    </row>
    <row r="127" spans="1:51" ht="36">
      <c r="A127" s="106">
        <v>57</v>
      </c>
      <c r="B127" s="225" t="s">
        <v>908</v>
      </c>
      <c r="C127" s="13" t="s">
        <v>42</v>
      </c>
      <c r="D127" s="9">
        <v>56.56</v>
      </c>
      <c r="E127" s="9"/>
      <c r="F127" s="33"/>
      <c r="G127" s="4"/>
      <c r="H127" s="316"/>
      <c r="I127" s="4"/>
      <c r="J127" s="337"/>
      <c r="K127" s="338"/>
      <c r="L127" s="338"/>
      <c r="M127" s="338"/>
      <c r="N127" s="338"/>
      <c r="O127" s="339"/>
      <c r="P127" s="195"/>
      <c r="Q127" s="195"/>
      <c r="R127" s="196"/>
      <c r="S127" s="196"/>
    </row>
    <row r="128" spans="1:51" s="220" customFormat="1" ht="12" customHeight="1">
      <c r="A128" s="19" t="s">
        <v>1564</v>
      </c>
      <c r="B128" s="317" t="s">
        <v>1179</v>
      </c>
      <c r="C128" s="17" t="s">
        <v>26</v>
      </c>
      <c r="D128" s="9">
        <f>D127*0.22*0.15*2.3</f>
        <v>4.2929040000000001</v>
      </c>
      <c r="E128" s="313"/>
      <c r="F128" s="33"/>
      <c r="G128" s="4"/>
      <c r="H128" s="108"/>
      <c r="I128" s="4"/>
      <c r="J128" s="337"/>
      <c r="K128" s="338"/>
      <c r="L128" s="338"/>
      <c r="M128" s="338"/>
      <c r="N128" s="338"/>
      <c r="O128" s="339"/>
    </row>
    <row r="129" spans="1:19" s="220" customFormat="1" ht="12" customHeight="1">
      <c r="A129" s="19" t="s">
        <v>1565</v>
      </c>
      <c r="B129" s="317" t="s">
        <v>1091</v>
      </c>
      <c r="C129" s="17" t="s">
        <v>26</v>
      </c>
      <c r="D129" s="9">
        <f>D127*0.1*0.35</f>
        <v>1.9796</v>
      </c>
      <c r="E129" s="313"/>
      <c r="F129" s="33"/>
      <c r="G129" s="4"/>
      <c r="H129" s="108"/>
      <c r="I129" s="4"/>
      <c r="J129" s="337"/>
      <c r="K129" s="338"/>
      <c r="L129" s="338"/>
      <c r="M129" s="338"/>
      <c r="N129" s="338"/>
      <c r="O129" s="339"/>
    </row>
    <row r="130" spans="1:19" s="220" customFormat="1" ht="12" customHeight="1">
      <c r="A130" s="19" t="s">
        <v>1566</v>
      </c>
      <c r="B130" s="191" t="s">
        <v>1092</v>
      </c>
      <c r="C130" s="17" t="s">
        <v>26</v>
      </c>
      <c r="D130" s="9">
        <f>D127*0.325*0.05</f>
        <v>0.91910000000000014</v>
      </c>
      <c r="E130" s="329"/>
      <c r="F130" s="33"/>
      <c r="G130" s="4"/>
      <c r="H130" s="4"/>
      <c r="I130" s="4"/>
      <c r="J130" s="337"/>
      <c r="K130" s="338"/>
      <c r="L130" s="338"/>
      <c r="M130" s="338"/>
      <c r="N130" s="338"/>
      <c r="O130" s="339"/>
    </row>
    <row r="131" spans="1:19" ht="36">
      <c r="A131" s="106">
        <v>58</v>
      </c>
      <c r="B131" s="225" t="s">
        <v>909</v>
      </c>
      <c r="C131" s="13" t="s">
        <v>42</v>
      </c>
      <c r="D131" s="9">
        <v>19</v>
      </c>
      <c r="E131" s="9"/>
      <c r="F131" s="33"/>
      <c r="G131" s="4"/>
      <c r="H131" s="316"/>
      <c r="I131" s="4"/>
      <c r="J131" s="337"/>
      <c r="K131" s="338"/>
      <c r="L131" s="338"/>
      <c r="M131" s="338"/>
      <c r="N131" s="338"/>
      <c r="O131" s="339"/>
      <c r="P131" s="195"/>
      <c r="Q131" s="195"/>
      <c r="R131" s="196"/>
      <c r="S131" s="196"/>
    </row>
    <row r="132" spans="1:19" s="220" customFormat="1" ht="12" customHeight="1">
      <c r="A132" s="19" t="s">
        <v>1567</v>
      </c>
      <c r="B132" s="317" t="s">
        <v>1179</v>
      </c>
      <c r="C132" s="17" t="s">
        <v>26</v>
      </c>
      <c r="D132" s="9">
        <f>D131*0.22*0.15*2.3</f>
        <v>1.4420999999999997</v>
      </c>
      <c r="E132" s="313"/>
      <c r="F132" s="33"/>
      <c r="G132" s="4"/>
      <c r="H132" s="108"/>
      <c r="I132" s="4"/>
      <c r="J132" s="337"/>
      <c r="K132" s="338"/>
      <c r="L132" s="338"/>
      <c r="M132" s="338"/>
      <c r="N132" s="338"/>
      <c r="O132" s="339"/>
    </row>
    <row r="133" spans="1:19" s="220" customFormat="1" ht="12" customHeight="1">
      <c r="A133" s="19" t="s">
        <v>1568</v>
      </c>
      <c r="B133" s="317" t="s">
        <v>1091</v>
      </c>
      <c r="C133" s="17" t="s">
        <v>26</v>
      </c>
      <c r="D133" s="9">
        <f>D131*0.1*0.35</f>
        <v>0.66500000000000004</v>
      </c>
      <c r="E133" s="313"/>
      <c r="F133" s="33"/>
      <c r="G133" s="4"/>
      <c r="H133" s="108"/>
      <c r="I133" s="4"/>
      <c r="J133" s="337"/>
      <c r="K133" s="338"/>
      <c r="L133" s="338"/>
      <c r="M133" s="338"/>
      <c r="N133" s="338"/>
      <c r="O133" s="339"/>
    </row>
    <row r="134" spans="1:19" s="220" customFormat="1" ht="12" customHeight="1">
      <c r="A134" s="19" t="s">
        <v>1569</v>
      </c>
      <c r="B134" s="191" t="s">
        <v>1092</v>
      </c>
      <c r="C134" s="17" t="s">
        <v>26</v>
      </c>
      <c r="D134" s="9">
        <f>D131*0.325*0.05</f>
        <v>0.30875000000000002</v>
      </c>
      <c r="E134" s="329"/>
      <c r="F134" s="33"/>
      <c r="G134" s="4"/>
      <c r="H134" s="4"/>
      <c r="I134" s="4"/>
      <c r="J134" s="337"/>
      <c r="K134" s="338"/>
      <c r="L134" s="338"/>
      <c r="M134" s="338"/>
      <c r="N134" s="338"/>
      <c r="O134" s="339"/>
    </row>
    <row r="135" spans="1:19" ht="36">
      <c r="A135" s="106">
        <v>59</v>
      </c>
      <c r="B135" s="225" t="s">
        <v>917</v>
      </c>
      <c r="C135" s="13" t="s">
        <v>42</v>
      </c>
      <c r="D135" s="9">
        <v>561.56000000000006</v>
      </c>
      <c r="E135" s="9"/>
      <c r="F135" s="33"/>
      <c r="G135" s="4"/>
      <c r="H135" s="316"/>
      <c r="I135" s="4"/>
      <c r="J135" s="337"/>
      <c r="K135" s="338"/>
      <c r="L135" s="338"/>
      <c r="M135" s="338"/>
      <c r="N135" s="338"/>
      <c r="O135" s="339"/>
      <c r="P135" s="195"/>
      <c r="Q135" s="195"/>
      <c r="R135" s="196"/>
      <c r="S135" s="196"/>
    </row>
    <row r="136" spans="1:19" s="220" customFormat="1" ht="12" customHeight="1">
      <c r="A136" s="19" t="s">
        <v>1570</v>
      </c>
      <c r="B136" s="317" t="s">
        <v>1179</v>
      </c>
      <c r="C136" s="17" t="s">
        <v>26</v>
      </c>
      <c r="D136" s="9">
        <f>D135*0.22*0.15*2.3</f>
        <v>42.622404000000003</v>
      </c>
      <c r="E136" s="313"/>
      <c r="F136" s="33"/>
      <c r="G136" s="4"/>
      <c r="H136" s="108"/>
      <c r="I136" s="4"/>
      <c r="J136" s="337"/>
      <c r="K136" s="338"/>
      <c r="L136" s="338"/>
      <c r="M136" s="338"/>
      <c r="N136" s="338"/>
      <c r="O136" s="339"/>
    </row>
    <row r="137" spans="1:19" s="220" customFormat="1" ht="12" customHeight="1">
      <c r="A137" s="19" t="s">
        <v>1571</v>
      </c>
      <c r="B137" s="317" t="s">
        <v>1091</v>
      </c>
      <c r="C137" s="17" t="s">
        <v>26</v>
      </c>
      <c r="D137" s="9">
        <f>D135*0.1*0.35</f>
        <v>19.654600000000002</v>
      </c>
      <c r="E137" s="313"/>
      <c r="F137" s="33"/>
      <c r="G137" s="4"/>
      <c r="H137" s="108"/>
      <c r="I137" s="4"/>
      <c r="J137" s="337"/>
      <c r="K137" s="338"/>
      <c r="L137" s="338"/>
      <c r="M137" s="338"/>
      <c r="N137" s="338"/>
      <c r="O137" s="339"/>
    </row>
    <row r="138" spans="1:19" s="220" customFormat="1" ht="12" customHeight="1">
      <c r="A138" s="19" t="s">
        <v>1572</v>
      </c>
      <c r="B138" s="191" t="s">
        <v>1092</v>
      </c>
      <c r="C138" s="17" t="s">
        <v>26</v>
      </c>
      <c r="D138" s="9">
        <f>D135*0.325*0.05</f>
        <v>9.1253500000000027</v>
      </c>
      <c r="E138" s="329"/>
      <c r="F138" s="33"/>
      <c r="G138" s="4"/>
      <c r="H138" s="4"/>
      <c r="I138" s="4"/>
      <c r="J138" s="337"/>
      <c r="K138" s="338"/>
      <c r="L138" s="338"/>
      <c r="M138" s="338"/>
      <c r="N138" s="338"/>
      <c r="O138" s="339"/>
    </row>
    <row r="139" spans="1:19" s="25" customFormat="1" ht="14.25">
      <c r="A139" s="106"/>
      <c r="B139" s="180" t="s">
        <v>298</v>
      </c>
      <c r="C139" s="13" t="s">
        <v>174</v>
      </c>
      <c r="D139" s="9"/>
      <c r="E139" s="33"/>
      <c r="F139" s="33"/>
      <c r="G139" s="4"/>
      <c r="H139" s="4"/>
      <c r="I139" s="4"/>
      <c r="J139" s="4"/>
      <c r="K139" s="4"/>
      <c r="L139" s="4"/>
      <c r="M139" s="4"/>
      <c r="N139" s="4"/>
      <c r="O139" s="20"/>
      <c r="P139" s="117"/>
      <c r="Q139" s="117"/>
    </row>
    <row r="140" spans="1:19" ht="24">
      <c r="A140" s="106">
        <v>60</v>
      </c>
      <c r="B140" s="225" t="s">
        <v>910</v>
      </c>
      <c r="C140" s="116" t="s">
        <v>14</v>
      </c>
      <c r="D140" s="9">
        <v>10549.283999999998</v>
      </c>
      <c r="E140" s="33"/>
      <c r="F140" s="33"/>
      <c r="G140" s="4"/>
      <c r="H140" s="4"/>
      <c r="I140" s="4"/>
      <c r="J140" s="337"/>
      <c r="K140" s="338"/>
      <c r="L140" s="338"/>
      <c r="M140" s="338"/>
      <c r="N140" s="338"/>
      <c r="O140" s="339"/>
      <c r="P140" s="195"/>
      <c r="Q140" s="195"/>
      <c r="R140" s="196"/>
      <c r="S140" s="196"/>
    </row>
    <row r="141" spans="1:19" s="314" customFormat="1">
      <c r="A141" s="19" t="s">
        <v>1573</v>
      </c>
      <c r="B141" s="121" t="s">
        <v>1090</v>
      </c>
      <c r="C141" s="17" t="s">
        <v>38</v>
      </c>
      <c r="D141" s="120">
        <f>ROUND(D140*0.05,2)</f>
        <v>527.46</v>
      </c>
      <c r="E141" s="4"/>
      <c r="F141" s="4"/>
      <c r="G141" s="112"/>
      <c r="H141" s="112"/>
      <c r="I141" s="112"/>
      <c r="J141" s="337"/>
      <c r="K141" s="338"/>
      <c r="L141" s="338"/>
      <c r="M141" s="338"/>
      <c r="N141" s="338"/>
      <c r="O141" s="339"/>
    </row>
    <row r="142" spans="1:19" s="314" customFormat="1">
      <c r="A142" s="19" t="s">
        <v>1574</v>
      </c>
      <c r="B142" s="121" t="s">
        <v>1089</v>
      </c>
      <c r="C142" s="17" t="s">
        <v>26</v>
      </c>
      <c r="D142" s="120">
        <f>ROUND(D140*0.1,2)</f>
        <v>1054.93</v>
      </c>
      <c r="E142" s="4"/>
      <c r="F142" s="4"/>
      <c r="G142" s="112"/>
      <c r="H142" s="112"/>
      <c r="I142" s="112"/>
      <c r="J142" s="337"/>
      <c r="K142" s="338"/>
      <c r="L142" s="338"/>
      <c r="M142" s="338"/>
      <c r="N142" s="338"/>
      <c r="O142" s="339"/>
    </row>
    <row r="143" spans="1:19" s="314" customFormat="1">
      <c r="A143" s="19" t="s">
        <v>1575</v>
      </c>
      <c r="B143" s="121" t="s">
        <v>1088</v>
      </c>
      <c r="C143" s="17" t="s">
        <v>83</v>
      </c>
      <c r="D143" s="120">
        <f>ROUND(D140*0.04,2)</f>
        <v>421.97</v>
      </c>
      <c r="E143" s="4"/>
      <c r="F143" s="4"/>
      <c r="G143" s="112"/>
      <c r="H143" s="112"/>
      <c r="I143" s="112"/>
      <c r="J143" s="337"/>
      <c r="K143" s="338"/>
      <c r="L143" s="338"/>
      <c r="M143" s="338"/>
      <c r="N143" s="338"/>
      <c r="O143" s="339"/>
    </row>
    <row r="144" spans="1:19" ht="24">
      <c r="A144" s="106">
        <v>61</v>
      </c>
      <c r="B144" s="225" t="s">
        <v>911</v>
      </c>
      <c r="C144" s="116" t="s">
        <v>14</v>
      </c>
      <c r="D144" s="9">
        <v>4972.0715999999993</v>
      </c>
      <c r="E144" s="33"/>
      <c r="F144" s="33"/>
      <c r="G144" s="4"/>
      <c r="H144" s="4"/>
      <c r="I144" s="4"/>
      <c r="J144" s="337"/>
      <c r="K144" s="338"/>
      <c r="L144" s="338"/>
      <c r="M144" s="338"/>
      <c r="N144" s="338"/>
      <c r="O144" s="339"/>
      <c r="P144" s="195"/>
      <c r="Q144" s="195"/>
      <c r="R144" s="196"/>
      <c r="S144" s="196"/>
    </row>
    <row r="145" spans="1:19" s="314" customFormat="1">
      <c r="A145" s="19" t="s">
        <v>1576</v>
      </c>
      <c r="B145" s="121" t="s">
        <v>1090</v>
      </c>
      <c r="C145" s="17" t="s">
        <v>38</v>
      </c>
      <c r="D145" s="120">
        <f>ROUND(D144*0.05,2)</f>
        <v>248.6</v>
      </c>
      <c r="E145" s="4"/>
      <c r="F145" s="4"/>
      <c r="G145" s="112"/>
      <c r="H145" s="112"/>
      <c r="I145" s="112"/>
      <c r="J145" s="337"/>
      <c r="K145" s="338"/>
      <c r="L145" s="338"/>
      <c r="M145" s="338"/>
      <c r="N145" s="338"/>
      <c r="O145" s="339"/>
    </row>
    <row r="146" spans="1:19" s="314" customFormat="1">
      <c r="A146" s="19" t="s">
        <v>1577</v>
      </c>
      <c r="B146" s="121" t="s">
        <v>1089</v>
      </c>
      <c r="C146" s="17" t="s">
        <v>26</v>
      </c>
      <c r="D146" s="120">
        <f>ROUND(D144*0.1,2)</f>
        <v>497.21</v>
      </c>
      <c r="E146" s="4"/>
      <c r="F146" s="4"/>
      <c r="G146" s="112"/>
      <c r="H146" s="112"/>
      <c r="I146" s="112"/>
      <c r="J146" s="337"/>
      <c r="K146" s="338"/>
      <c r="L146" s="338"/>
      <c r="M146" s="338"/>
      <c r="N146" s="338"/>
      <c r="O146" s="339"/>
    </row>
    <row r="147" spans="1:19" s="314" customFormat="1">
      <c r="A147" s="19" t="s">
        <v>1578</v>
      </c>
      <c r="B147" s="121" t="s">
        <v>1088</v>
      </c>
      <c r="C147" s="17" t="s">
        <v>83</v>
      </c>
      <c r="D147" s="120">
        <f>ROUND(D144*0.04,2)</f>
        <v>198.88</v>
      </c>
      <c r="E147" s="4"/>
      <c r="F147" s="4"/>
      <c r="G147" s="112"/>
      <c r="H147" s="112"/>
      <c r="I147" s="112"/>
      <c r="J147" s="337"/>
      <c r="K147" s="338"/>
      <c r="L147" s="338"/>
      <c r="M147" s="338"/>
      <c r="N147" s="338"/>
      <c r="O147" s="339"/>
    </row>
    <row r="148" spans="1:19" ht="36">
      <c r="A148" s="106">
        <v>62</v>
      </c>
      <c r="B148" s="225" t="s">
        <v>912</v>
      </c>
      <c r="C148" s="116" t="s">
        <v>14</v>
      </c>
      <c r="D148" s="9">
        <v>338.93579999999997</v>
      </c>
      <c r="E148" s="33"/>
      <c r="F148" s="33"/>
      <c r="G148" s="4"/>
      <c r="H148" s="4"/>
      <c r="I148" s="4"/>
      <c r="J148" s="337"/>
      <c r="K148" s="338"/>
      <c r="L148" s="338"/>
      <c r="M148" s="338"/>
      <c r="N148" s="338"/>
      <c r="O148" s="339"/>
      <c r="P148" s="195"/>
      <c r="Q148" s="195"/>
      <c r="R148" s="196"/>
      <c r="S148" s="196"/>
    </row>
    <row r="149" spans="1:19" s="314" customFormat="1">
      <c r="A149" s="19" t="s">
        <v>1579</v>
      </c>
      <c r="B149" s="121" t="s">
        <v>1090</v>
      </c>
      <c r="C149" s="17" t="s">
        <v>38</v>
      </c>
      <c r="D149" s="120">
        <f>ROUND(D148*0.05,2)</f>
        <v>16.95</v>
      </c>
      <c r="E149" s="4"/>
      <c r="F149" s="4"/>
      <c r="G149" s="112"/>
      <c r="H149" s="112"/>
      <c r="I149" s="112"/>
      <c r="J149" s="337"/>
      <c r="K149" s="338"/>
      <c r="L149" s="338"/>
      <c r="M149" s="338"/>
      <c r="N149" s="338"/>
      <c r="O149" s="339"/>
    </row>
    <row r="150" spans="1:19" s="314" customFormat="1">
      <c r="A150" s="19" t="s">
        <v>1580</v>
      </c>
      <c r="B150" s="121" t="s">
        <v>1089</v>
      </c>
      <c r="C150" s="17" t="s">
        <v>26</v>
      </c>
      <c r="D150" s="120">
        <f>ROUND(D148*0.1,2)</f>
        <v>33.89</v>
      </c>
      <c r="E150" s="4"/>
      <c r="F150" s="4"/>
      <c r="G150" s="112"/>
      <c r="H150" s="112"/>
      <c r="I150" s="112"/>
      <c r="J150" s="337"/>
      <c r="K150" s="338"/>
      <c r="L150" s="338"/>
      <c r="M150" s="338"/>
      <c r="N150" s="338"/>
      <c r="O150" s="339"/>
    </row>
    <row r="151" spans="1:19" s="314" customFormat="1">
      <c r="A151" s="19" t="s">
        <v>1581</v>
      </c>
      <c r="B151" s="121" t="s">
        <v>1088</v>
      </c>
      <c r="C151" s="17" t="s">
        <v>83</v>
      </c>
      <c r="D151" s="120">
        <f>ROUND(D148*0.04,2)</f>
        <v>13.56</v>
      </c>
      <c r="E151" s="4"/>
      <c r="F151" s="4"/>
      <c r="G151" s="112"/>
      <c r="H151" s="112"/>
      <c r="I151" s="112"/>
      <c r="J151" s="337"/>
      <c r="K151" s="338"/>
      <c r="L151" s="338"/>
      <c r="M151" s="338"/>
      <c r="N151" s="338"/>
      <c r="O151" s="339"/>
    </row>
    <row r="152" spans="1:19" s="25" customFormat="1" ht="14.25">
      <c r="A152" s="106"/>
      <c r="B152" s="180" t="s">
        <v>299</v>
      </c>
      <c r="C152" s="13"/>
      <c r="D152" s="9"/>
      <c r="E152" s="33"/>
      <c r="F152" s="33"/>
      <c r="G152" s="4"/>
      <c r="H152" s="4"/>
      <c r="I152" s="4"/>
      <c r="J152" s="4"/>
      <c r="K152" s="4"/>
      <c r="L152" s="4"/>
      <c r="M152" s="4"/>
      <c r="N152" s="4"/>
      <c r="O152" s="20"/>
      <c r="P152" s="117"/>
      <c r="Q152" s="117"/>
    </row>
    <row r="153" spans="1:19" customFormat="1" ht="24">
      <c r="A153" s="106">
        <v>63</v>
      </c>
      <c r="B153" s="225" t="s">
        <v>913</v>
      </c>
      <c r="C153" s="13" t="s">
        <v>42</v>
      </c>
      <c r="D153" s="14">
        <v>1111</v>
      </c>
      <c r="E153" s="455"/>
      <c r="F153" s="455"/>
      <c r="G153" s="455"/>
      <c r="H153" s="455"/>
      <c r="I153" s="455"/>
      <c r="J153" s="461"/>
      <c r="K153" s="464"/>
      <c r="L153" s="464"/>
      <c r="M153" s="464"/>
      <c r="N153" s="464"/>
      <c r="O153" s="458"/>
    </row>
    <row r="154" spans="1:19" customFormat="1" ht="24">
      <c r="A154" s="106">
        <f t="shared" ref="A154:A170" si="2">A153+1</f>
        <v>64</v>
      </c>
      <c r="B154" s="2" t="s">
        <v>914</v>
      </c>
      <c r="C154" s="13" t="s">
        <v>29</v>
      </c>
      <c r="D154" s="10">
        <v>394</v>
      </c>
      <c r="E154" s="457"/>
      <c r="F154" s="457"/>
      <c r="G154" s="457"/>
      <c r="H154" s="457"/>
      <c r="I154" s="457"/>
      <c r="J154" s="463"/>
      <c r="K154" s="466"/>
      <c r="L154" s="466"/>
      <c r="M154" s="466"/>
      <c r="N154" s="466"/>
      <c r="O154" s="460"/>
    </row>
    <row r="155" spans="1:19" s="198" customFormat="1" ht="24">
      <c r="A155" s="106">
        <f t="shared" si="2"/>
        <v>65</v>
      </c>
      <c r="B155" s="2" t="s">
        <v>1583</v>
      </c>
      <c r="C155" s="13" t="s">
        <v>29</v>
      </c>
      <c r="D155" s="10">
        <v>1</v>
      </c>
      <c r="E155" s="4"/>
      <c r="F155" s="33"/>
      <c r="G155" s="4"/>
      <c r="H155" s="4"/>
      <c r="I155" s="4"/>
      <c r="J155" s="337"/>
      <c r="K155" s="338"/>
      <c r="L155" s="338"/>
      <c r="M155" s="338"/>
      <c r="N155" s="338"/>
      <c r="O155" s="339"/>
    </row>
    <row r="156" spans="1:19" s="198" customFormat="1" ht="24">
      <c r="A156" s="106">
        <f t="shared" si="2"/>
        <v>66</v>
      </c>
      <c r="B156" s="2" t="s">
        <v>1582</v>
      </c>
      <c r="C156" s="13" t="s">
        <v>29</v>
      </c>
      <c r="D156" s="10">
        <v>1</v>
      </c>
      <c r="E156" s="4"/>
      <c r="F156" s="33"/>
      <c r="G156" s="4"/>
      <c r="H156" s="4"/>
      <c r="I156" s="4"/>
      <c r="J156" s="337"/>
      <c r="K156" s="338"/>
      <c r="L156" s="338"/>
      <c r="M156" s="338"/>
      <c r="N156" s="338"/>
      <c r="O156" s="339"/>
    </row>
    <row r="157" spans="1:19" s="25" customFormat="1" ht="14.25">
      <c r="A157" s="106"/>
      <c r="B157" s="180" t="s">
        <v>300</v>
      </c>
      <c r="C157" s="13" t="s">
        <v>174</v>
      </c>
      <c r="D157" s="9"/>
      <c r="E157" s="33"/>
      <c r="F157" s="33"/>
      <c r="G157" s="4"/>
      <c r="H157" s="4"/>
      <c r="I157" s="4"/>
      <c r="J157" s="4"/>
      <c r="K157" s="4"/>
      <c r="L157" s="4"/>
      <c r="M157" s="4"/>
      <c r="N157" s="4"/>
      <c r="O157" s="20"/>
      <c r="P157" s="117"/>
      <c r="Q157" s="117"/>
    </row>
    <row r="158" spans="1:19" s="25" customFormat="1" ht="24">
      <c r="A158" s="106"/>
      <c r="B158" s="180" t="s">
        <v>915</v>
      </c>
      <c r="C158" s="13" t="s">
        <v>174</v>
      </c>
      <c r="D158" s="9"/>
      <c r="E158" s="33"/>
      <c r="F158" s="33"/>
      <c r="G158" s="4"/>
      <c r="H158" s="4"/>
      <c r="I158" s="4"/>
      <c r="J158" s="4"/>
      <c r="K158" s="4"/>
      <c r="L158" s="4"/>
      <c r="M158" s="4"/>
      <c r="N158" s="4"/>
      <c r="O158" s="20"/>
      <c r="P158" s="117"/>
      <c r="Q158" s="117"/>
    </row>
    <row r="159" spans="1:19" ht="24">
      <c r="A159" s="106">
        <v>67</v>
      </c>
      <c r="B159" s="225" t="s">
        <v>916</v>
      </c>
      <c r="C159" s="116" t="s">
        <v>14</v>
      </c>
      <c r="D159" s="14">
        <v>5</v>
      </c>
      <c r="E159" s="33"/>
      <c r="F159" s="33"/>
      <c r="G159" s="4"/>
      <c r="H159" s="4"/>
      <c r="I159" s="4"/>
      <c r="J159" s="337"/>
      <c r="K159" s="338"/>
      <c r="L159" s="338"/>
      <c r="M159" s="338"/>
      <c r="N159" s="338"/>
      <c r="O159" s="339"/>
      <c r="P159" s="195"/>
      <c r="Q159" s="195"/>
      <c r="R159" s="196"/>
      <c r="S159" s="196"/>
    </row>
    <row r="160" spans="1:19" ht="14.25">
      <c r="A160" s="106">
        <f t="shared" si="2"/>
        <v>68</v>
      </c>
      <c r="B160" s="225" t="s">
        <v>301</v>
      </c>
      <c r="C160" s="116" t="s">
        <v>14</v>
      </c>
      <c r="D160" s="14">
        <v>0.5</v>
      </c>
      <c r="E160" s="33"/>
      <c r="F160" s="33"/>
      <c r="G160" s="4"/>
      <c r="H160" s="4"/>
      <c r="I160" s="4"/>
      <c r="J160" s="337"/>
      <c r="K160" s="338"/>
      <c r="L160" s="338"/>
      <c r="M160" s="338"/>
      <c r="N160" s="338"/>
      <c r="O160" s="339"/>
      <c r="P160" s="195"/>
      <c r="Q160" s="195"/>
      <c r="R160" s="196"/>
      <c r="S160" s="196"/>
    </row>
    <row r="161" spans="1:21" s="198" customFormat="1">
      <c r="A161" s="106">
        <f t="shared" si="2"/>
        <v>69</v>
      </c>
      <c r="B161" s="2" t="s">
        <v>1216</v>
      </c>
      <c r="C161" s="13" t="s">
        <v>29</v>
      </c>
      <c r="D161" s="10">
        <v>1</v>
      </c>
      <c r="E161" s="33"/>
      <c r="F161" s="33"/>
      <c r="G161" s="4"/>
      <c r="H161" s="4"/>
      <c r="I161" s="5"/>
      <c r="J161" s="337"/>
      <c r="K161" s="338"/>
      <c r="L161" s="338"/>
      <c r="M161" s="338"/>
      <c r="N161" s="338"/>
      <c r="O161" s="339"/>
    </row>
    <row r="162" spans="1:21" s="198" customFormat="1">
      <c r="A162" s="106">
        <f t="shared" si="2"/>
        <v>70</v>
      </c>
      <c r="B162" s="2" t="s">
        <v>1217</v>
      </c>
      <c r="C162" s="13" t="s">
        <v>29</v>
      </c>
      <c r="D162" s="10">
        <v>2</v>
      </c>
      <c r="E162" s="33"/>
      <c r="F162" s="33"/>
      <c r="G162" s="4"/>
      <c r="H162" s="4"/>
      <c r="I162" s="5"/>
      <c r="J162" s="337"/>
      <c r="K162" s="338"/>
      <c r="L162" s="338"/>
      <c r="M162" s="338"/>
      <c r="N162" s="338"/>
      <c r="O162" s="339"/>
    </row>
    <row r="163" spans="1:21" s="198" customFormat="1">
      <c r="A163" s="106">
        <f t="shared" si="2"/>
        <v>71</v>
      </c>
      <c r="B163" s="2" t="s">
        <v>1218</v>
      </c>
      <c r="C163" s="13" t="s">
        <v>29</v>
      </c>
      <c r="D163" s="10">
        <v>1</v>
      </c>
      <c r="E163" s="33"/>
      <c r="F163" s="33"/>
      <c r="G163" s="4"/>
      <c r="H163" s="4"/>
      <c r="I163" s="5"/>
      <c r="J163" s="337"/>
      <c r="K163" s="338"/>
      <c r="L163" s="338"/>
      <c r="M163" s="338"/>
      <c r="N163" s="338"/>
      <c r="O163" s="339"/>
    </row>
    <row r="164" spans="1:21" s="198" customFormat="1">
      <c r="A164" s="106">
        <f t="shared" si="2"/>
        <v>72</v>
      </c>
      <c r="B164" s="2" t="s">
        <v>1219</v>
      </c>
      <c r="C164" s="13" t="s">
        <v>29</v>
      </c>
      <c r="D164" s="10">
        <v>1</v>
      </c>
      <c r="E164" s="33"/>
      <c r="F164" s="33"/>
      <c r="G164" s="4"/>
      <c r="H164" s="4"/>
      <c r="I164" s="5"/>
      <c r="J164" s="337"/>
      <c r="K164" s="338"/>
      <c r="L164" s="338"/>
      <c r="M164" s="338"/>
      <c r="N164" s="338"/>
      <c r="O164" s="339"/>
    </row>
    <row r="165" spans="1:21" s="198" customFormat="1">
      <c r="A165" s="106">
        <f t="shared" si="2"/>
        <v>73</v>
      </c>
      <c r="B165" s="2" t="s">
        <v>1220</v>
      </c>
      <c r="C165" s="13" t="s">
        <v>29</v>
      </c>
      <c r="D165" s="10">
        <v>1</v>
      </c>
      <c r="E165" s="33"/>
      <c r="F165" s="33"/>
      <c r="G165" s="4"/>
      <c r="H165" s="4"/>
      <c r="I165" s="5"/>
      <c r="J165" s="337"/>
      <c r="K165" s="338"/>
      <c r="L165" s="338"/>
      <c r="M165" s="338"/>
      <c r="N165" s="338"/>
      <c r="O165" s="339"/>
    </row>
    <row r="166" spans="1:21" s="198" customFormat="1">
      <c r="A166" s="106">
        <f t="shared" si="2"/>
        <v>74</v>
      </c>
      <c r="B166" s="2" t="s">
        <v>1221</v>
      </c>
      <c r="C166" s="13" t="s">
        <v>29</v>
      </c>
      <c r="D166" s="10">
        <v>1</v>
      </c>
      <c r="E166" s="33"/>
      <c r="F166" s="33"/>
      <c r="G166" s="4"/>
      <c r="H166" s="4"/>
      <c r="I166" s="5"/>
      <c r="J166" s="337"/>
      <c r="K166" s="338"/>
      <c r="L166" s="338"/>
      <c r="M166" s="338"/>
      <c r="N166" s="338"/>
      <c r="O166" s="339"/>
    </row>
    <row r="167" spans="1:21" s="198" customFormat="1">
      <c r="A167" s="106">
        <f t="shared" si="2"/>
        <v>75</v>
      </c>
      <c r="B167" s="2" t="s">
        <v>1222</v>
      </c>
      <c r="C167" s="13" t="s">
        <v>29</v>
      </c>
      <c r="D167" s="10">
        <v>1</v>
      </c>
      <c r="E167" s="33"/>
      <c r="F167" s="33"/>
      <c r="G167" s="4"/>
      <c r="H167" s="4"/>
      <c r="I167" s="5"/>
      <c r="J167" s="337"/>
      <c r="K167" s="338"/>
      <c r="L167" s="338"/>
      <c r="M167" s="338"/>
      <c r="N167" s="338"/>
      <c r="O167" s="339"/>
    </row>
    <row r="168" spans="1:21" s="198" customFormat="1">
      <c r="A168" s="106">
        <f t="shared" si="2"/>
        <v>76</v>
      </c>
      <c r="B168" s="2" t="s">
        <v>1223</v>
      </c>
      <c r="C168" s="13" t="s">
        <v>29</v>
      </c>
      <c r="D168" s="10">
        <v>1</v>
      </c>
      <c r="E168" s="33"/>
      <c r="F168" s="33"/>
      <c r="G168" s="4"/>
      <c r="H168" s="4"/>
      <c r="I168" s="5"/>
      <c r="J168" s="337"/>
      <c r="K168" s="338"/>
      <c r="L168" s="338"/>
      <c r="M168" s="338"/>
      <c r="N168" s="338"/>
      <c r="O168" s="339"/>
    </row>
    <row r="169" spans="1:21" s="198" customFormat="1">
      <c r="A169" s="106">
        <f t="shared" si="2"/>
        <v>77</v>
      </c>
      <c r="B169" s="2" t="s">
        <v>1224</v>
      </c>
      <c r="C169" s="13" t="s">
        <v>29</v>
      </c>
      <c r="D169" s="10">
        <v>1</v>
      </c>
      <c r="E169" s="33"/>
      <c r="F169" s="33"/>
      <c r="G169" s="4"/>
      <c r="H169" s="4"/>
      <c r="I169" s="5"/>
      <c r="J169" s="337"/>
      <c r="K169" s="338"/>
      <c r="L169" s="338"/>
      <c r="M169" s="338"/>
      <c r="N169" s="338"/>
      <c r="O169" s="339"/>
    </row>
    <row r="170" spans="1:21" s="220" customFormat="1" thickBot="1">
      <c r="A170" s="106">
        <f t="shared" si="2"/>
        <v>78</v>
      </c>
      <c r="B170" s="330" t="s">
        <v>1225</v>
      </c>
      <c r="C170" s="13" t="s">
        <v>29</v>
      </c>
      <c r="D170" s="10">
        <f>SUM(D161:D169)</f>
        <v>10</v>
      </c>
      <c r="E170" s="33"/>
      <c r="F170" s="33"/>
      <c r="G170" s="4"/>
      <c r="H170" s="5"/>
      <c r="I170" s="5"/>
      <c r="J170" s="337"/>
      <c r="K170" s="338"/>
      <c r="L170" s="338"/>
      <c r="M170" s="338"/>
      <c r="N170" s="338"/>
      <c r="O170" s="339"/>
    </row>
    <row r="171" spans="1:21" s="102" customFormat="1" ht="15.75" thickTop="1" thickBot="1">
      <c r="A171" s="181"/>
      <c r="B171" s="400" t="s">
        <v>1587</v>
      </c>
      <c r="C171" s="401"/>
      <c r="D171" s="401"/>
      <c r="E171" s="401"/>
      <c r="F171" s="401"/>
      <c r="G171" s="401"/>
      <c r="H171" s="401"/>
      <c r="I171" s="401"/>
      <c r="J171" s="402"/>
      <c r="K171" s="182"/>
      <c r="L171" s="182"/>
      <c r="M171" s="182"/>
      <c r="N171" s="182"/>
      <c r="O171" s="183"/>
      <c r="P171" s="25"/>
      <c r="Q171" s="25"/>
    </row>
    <row r="172" spans="1:21" s="102" customFormat="1" ht="15" thickTop="1">
      <c r="B172" s="172"/>
      <c r="P172" s="25"/>
      <c r="Q172" s="25"/>
    </row>
    <row r="173" spans="1:21" s="102" customFormat="1" ht="14.25">
      <c r="A173" s="117"/>
      <c r="B173" s="172" t="s">
        <v>209</v>
      </c>
      <c r="C173" s="117"/>
      <c r="D173" s="117"/>
      <c r="E173" s="117"/>
      <c r="F173" s="117"/>
      <c r="G173" s="117"/>
      <c r="H173" s="117"/>
      <c r="P173" s="25"/>
      <c r="Q173" s="25"/>
    </row>
    <row r="174" spans="1:21" s="102" customFormat="1" ht="14.25">
      <c r="A174" s="117"/>
      <c r="B174" s="172"/>
      <c r="C174" s="117"/>
      <c r="D174" s="117"/>
      <c r="E174" s="117"/>
      <c r="F174" s="117"/>
      <c r="G174" s="117"/>
      <c r="H174" s="117"/>
      <c r="P174" s="25"/>
      <c r="Q174" s="25"/>
    </row>
    <row r="175" spans="1:21" s="102" customFormat="1" ht="14.25">
      <c r="B175" s="92">
        <f ca="1">TODAY()</f>
        <v>43206</v>
      </c>
      <c r="P175" s="25"/>
      <c r="Q175" s="25"/>
      <c r="R175" s="25"/>
      <c r="S175" s="25"/>
      <c r="T175" s="25"/>
      <c r="U175" s="25"/>
    </row>
    <row r="176" spans="1:21" s="102" customFormat="1" ht="14.25">
      <c r="A176" s="117"/>
      <c r="B176" s="117"/>
      <c r="C176" s="117"/>
      <c r="D176" s="117"/>
      <c r="E176" s="117"/>
      <c r="F176" s="117"/>
      <c r="G176" s="117"/>
      <c r="H176" s="117"/>
      <c r="I176" s="117"/>
      <c r="J176" s="117"/>
      <c r="K176" s="117"/>
      <c r="L176" s="117"/>
      <c r="M176" s="117"/>
      <c r="N176" s="117"/>
      <c r="O176" s="117"/>
      <c r="P176" s="25"/>
      <c r="Q176" s="25"/>
      <c r="R176" s="25"/>
      <c r="S176" s="25"/>
      <c r="T176" s="25"/>
      <c r="U176" s="25"/>
    </row>
    <row r="177" spans="1:21" s="102" customFormat="1" ht="14.25">
      <c r="A177" s="117"/>
      <c r="B177" s="117"/>
      <c r="C177" s="117"/>
      <c r="D177" s="117"/>
      <c r="E177" s="117"/>
      <c r="F177" s="117"/>
      <c r="G177" s="117"/>
      <c r="H177" s="117"/>
      <c r="I177" s="117"/>
      <c r="J177" s="117"/>
      <c r="K177" s="117"/>
      <c r="L177" s="117"/>
      <c r="M177" s="117"/>
      <c r="N177" s="117"/>
      <c r="O177" s="117"/>
      <c r="P177" s="25"/>
      <c r="Q177" s="25"/>
    </row>
    <row r="178" spans="1:21">
      <c r="P178" s="133"/>
      <c r="Q178" s="179"/>
      <c r="R178" s="133"/>
      <c r="S178" s="133"/>
      <c r="T178" s="133"/>
      <c r="U178" s="133"/>
    </row>
  </sheetData>
  <autoFilter ref="F1:F176"/>
  <mergeCells count="33">
    <mergeCell ref="B171:J171"/>
    <mergeCell ref="K8:K10"/>
    <mergeCell ref="L8:L10"/>
    <mergeCell ref="M8:M10"/>
    <mergeCell ref="N8:N10"/>
    <mergeCell ref="I8:I10"/>
    <mergeCell ref="E153:E154"/>
    <mergeCell ref="F153:F154"/>
    <mergeCell ref="G153:G154"/>
    <mergeCell ref="H153:H154"/>
    <mergeCell ref="I153:I154"/>
    <mergeCell ref="O8:O10"/>
    <mergeCell ref="J8:J10"/>
    <mergeCell ref="A1:O1"/>
    <mergeCell ref="A2:O2"/>
    <mergeCell ref="J6:M6"/>
    <mergeCell ref="N6:O6"/>
    <mergeCell ref="A7:A10"/>
    <mergeCell ref="B7:B10"/>
    <mergeCell ref="C7:C10"/>
    <mergeCell ref="D7:D10"/>
    <mergeCell ref="E7:J7"/>
    <mergeCell ref="K7:O7"/>
    <mergeCell ref="E8:E10"/>
    <mergeCell ref="F8:F10"/>
    <mergeCell ref="G8:G10"/>
    <mergeCell ref="H8:H10"/>
    <mergeCell ref="O153:O154"/>
    <mergeCell ref="J153:J154"/>
    <mergeCell ref="K153:K154"/>
    <mergeCell ref="L153:L154"/>
    <mergeCell ref="M153:M154"/>
    <mergeCell ref="N153:N154"/>
  </mergeCells>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55"/>
  <sheetViews>
    <sheetView zoomScaleNormal="100" workbookViewId="0">
      <selection activeCell="B46" sqref="B46"/>
    </sheetView>
  </sheetViews>
  <sheetFormatPr defaultColWidth="9.140625" defaultRowHeight="12.75"/>
  <cols>
    <col min="1" max="1" width="6.5703125" style="117" customWidth="1"/>
    <col min="2" max="2" width="37.42578125" style="117" customWidth="1"/>
    <col min="3" max="3" width="6.7109375" style="117" customWidth="1"/>
    <col min="4" max="4" width="7.140625" style="117" customWidth="1"/>
    <col min="5" max="10" width="8.140625" style="117" customWidth="1"/>
    <col min="11" max="11" width="9.140625" style="117" customWidth="1"/>
    <col min="12" max="12" width="9.7109375" style="117" customWidth="1"/>
    <col min="13" max="13" width="9.5703125" style="117" customWidth="1"/>
    <col min="14" max="14" width="9.7109375" style="117" customWidth="1"/>
    <col min="15" max="15" width="10.140625" style="117" customWidth="1"/>
    <col min="16" max="16" width="11.7109375" style="117" bestFit="1" customWidth="1"/>
    <col min="17" max="17" width="11.7109375" style="117" customWidth="1"/>
    <col min="18" max="16384" width="9.140625" style="117"/>
  </cols>
  <sheetData>
    <row r="1" spans="1:15" s="102" customFormat="1" ht="14.25">
      <c r="A1" s="396" t="s">
        <v>183</v>
      </c>
      <c r="B1" s="396"/>
      <c r="C1" s="396"/>
      <c r="D1" s="396"/>
      <c r="E1" s="396"/>
      <c r="F1" s="396"/>
      <c r="G1" s="396"/>
      <c r="H1" s="396"/>
      <c r="I1" s="396"/>
      <c r="J1" s="396"/>
      <c r="K1" s="396"/>
      <c r="L1" s="396"/>
      <c r="M1" s="396"/>
      <c r="N1" s="396"/>
      <c r="O1" s="396"/>
    </row>
    <row r="2" spans="1:15" s="102" customFormat="1" ht="14.25">
      <c r="A2" s="397" t="str">
        <f>Kopsavilkums!C12</f>
        <v>Zemes darbi</v>
      </c>
      <c r="B2" s="397"/>
      <c r="C2" s="397"/>
      <c r="D2" s="397"/>
      <c r="E2" s="397"/>
      <c r="F2" s="397"/>
      <c r="G2" s="397"/>
      <c r="H2" s="397"/>
      <c r="I2" s="397"/>
      <c r="J2" s="397"/>
      <c r="K2" s="397"/>
      <c r="L2" s="397"/>
      <c r="M2" s="397"/>
      <c r="N2" s="397"/>
      <c r="O2" s="397"/>
    </row>
    <row r="3" spans="1:15" s="102" customFormat="1" ht="14.25">
      <c r="A3" s="115" t="s">
        <v>1246</v>
      </c>
      <c r="B3" s="177"/>
      <c r="C3" s="177"/>
      <c r="D3" s="177"/>
      <c r="E3" s="177"/>
      <c r="F3" s="177"/>
      <c r="G3" s="177"/>
      <c r="H3" s="177"/>
      <c r="I3" s="177"/>
      <c r="J3" s="177"/>
      <c r="K3" s="177"/>
      <c r="L3" s="177"/>
      <c r="M3" s="177"/>
      <c r="N3" s="177"/>
      <c r="O3" s="177"/>
    </row>
    <row r="4" spans="1:15" s="102" customFormat="1" ht="14.25">
      <c r="A4" s="115" t="s">
        <v>307</v>
      </c>
      <c r="B4" s="177"/>
      <c r="C4" s="177"/>
      <c r="D4" s="177"/>
      <c r="E4" s="177"/>
      <c r="F4" s="177"/>
      <c r="G4" s="177"/>
      <c r="H4" s="177"/>
      <c r="I4" s="177"/>
      <c r="J4" s="177"/>
      <c r="K4" s="177"/>
      <c r="L4" s="177"/>
      <c r="M4" s="177"/>
      <c r="N4" s="177"/>
      <c r="O4" s="177"/>
    </row>
    <row r="5" spans="1:15" s="102" customFormat="1" ht="14.25">
      <c r="A5" s="115" t="s">
        <v>306</v>
      </c>
      <c r="B5" s="177"/>
      <c r="C5" s="177"/>
      <c r="D5" s="177"/>
      <c r="E5" s="177"/>
      <c r="F5" s="177"/>
      <c r="G5" s="177"/>
      <c r="H5" s="177"/>
      <c r="I5" s="177"/>
      <c r="J5" s="177"/>
      <c r="K5" s="177"/>
      <c r="L5" s="177"/>
      <c r="M5" s="177"/>
      <c r="N5" s="177"/>
      <c r="O5" s="177"/>
    </row>
    <row r="6" spans="1:15" ht="13.5" thickBot="1">
      <c r="E6" s="133"/>
      <c r="F6" s="133"/>
      <c r="G6" s="133"/>
      <c r="H6" s="133"/>
      <c r="I6" s="133"/>
      <c r="J6" s="398" t="s">
        <v>13</v>
      </c>
      <c r="K6" s="398"/>
      <c r="L6" s="398"/>
      <c r="M6" s="398"/>
      <c r="N6" s="399" t="e">
        <f>#REF!</f>
        <v>#REF!</v>
      </c>
      <c r="O6" s="399"/>
    </row>
    <row r="7" spans="1:15" s="133" customFormat="1">
      <c r="A7" s="378" t="s">
        <v>27</v>
      </c>
      <c r="B7" s="381" t="s">
        <v>28</v>
      </c>
      <c r="C7" s="381" t="s">
        <v>17</v>
      </c>
      <c r="D7" s="381" t="s">
        <v>19</v>
      </c>
      <c r="E7" s="390" t="s">
        <v>15</v>
      </c>
      <c r="F7" s="391"/>
      <c r="G7" s="391"/>
      <c r="H7" s="391"/>
      <c r="I7" s="391"/>
      <c r="J7" s="392"/>
      <c r="K7" s="390" t="s">
        <v>16</v>
      </c>
      <c r="L7" s="391"/>
      <c r="M7" s="391"/>
      <c r="N7" s="391"/>
      <c r="O7" s="393"/>
    </row>
    <row r="8" spans="1:15"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5" s="133" customFormat="1">
      <c r="A9" s="379"/>
      <c r="B9" s="382"/>
      <c r="C9" s="382"/>
      <c r="D9" s="382"/>
      <c r="E9" s="394"/>
      <c r="F9" s="376"/>
      <c r="G9" s="376"/>
      <c r="H9" s="376"/>
      <c r="I9" s="376"/>
      <c r="J9" s="373"/>
      <c r="K9" s="376"/>
      <c r="L9" s="376"/>
      <c r="M9" s="376"/>
      <c r="N9" s="376"/>
      <c r="O9" s="385"/>
    </row>
    <row r="10" spans="1:15" s="133" customFormat="1">
      <c r="A10" s="379"/>
      <c r="B10" s="382"/>
      <c r="C10" s="382"/>
      <c r="D10" s="382"/>
      <c r="E10" s="394"/>
      <c r="F10" s="376"/>
      <c r="G10" s="376"/>
      <c r="H10" s="376"/>
      <c r="I10" s="376"/>
      <c r="J10" s="373"/>
      <c r="K10" s="376"/>
      <c r="L10" s="376"/>
      <c r="M10" s="376"/>
      <c r="N10" s="376"/>
      <c r="O10" s="385"/>
    </row>
    <row r="11" spans="1:15" s="133" customFormat="1" ht="13.5" thickBot="1">
      <c r="A11" s="380"/>
      <c r="B11" s="383"/>
      <c r="C11" s="383"/>
      <c r="D11" s="383"/>
      <c r="E11" s="395"/>
      <c r="F11" s="377"/>
      <c r="G11" s="377"/>
      <c r="H11" s="377"/>
      <c r="I11" s="377"/>
      <c r="J11" s="374"/>
      <c r="K11" s="377"/>
      <c r="L11" s="377"/>
      <c r="M11" s="377"/>
      <c r="N11" s="377"/>
      <c r="O11" s="386"/>
    </row>
    <row r="12" spans="1:15" s="133" customFormat="1" ht="14.25" thickTop="1" thickBot="1">
      <c r="A12" s="52">
        <v>1</v>
      </c>
      <c r="B12" s="53">
        <v>2</v>
      </c>
      <c r="C12" s="53">
        <v>3</v>
      </c>
      <c r="D12" s="53">
        <v>4</v>
      </c>
      <c r="E12" s="53">
        <v>5</v>
      </c>
      <c r="F12" s="53">
        <v>6</v>
      </c>
      <c r="G12" s="53">
        <v>7</v>
      </c>
      <c r="H12" s="53">
        <v>8</v>
      </c>
      <c r="I12" s="53">
        <v>9</v>
      </c>
      <c r="J12" s="54">
        <v>10</v>
      </c>
      <c r="K12" s="53">
        <v>11</v>
      </c>
      <c r="L12" s="54">
        <v>12</v>
      </c>
      <c r="M12" s="53">
        <v>13</v>
      </c>
      <c r="N12" s="54">
        <v>14</v>
      </c>
      <c r="O12" s="55">
        <v>15</v>
      </c>
    </row>
    <row r="13" spans="1:15" s="25" customFormat="1" ht="15" thickTop="1">
      <c r="A13" s="106">
        <v>1</v>
      </c>
      <c r="B13" s="49" t="s">
        <v>173</v>
      </c>
      <c r="C13" s="13" t="s">
        <v>37</v>
      </c>
      <c r="D13" s="9">
        <f>4300/100*0.3</f>
        <v>12.9</v>
      </c>
      <c r="E13" s="33"/>
      <c r="F13" s="33"/>
      <c r="G13" s="4"/>
      <c r="H13" s="34"/>
      <c r="I13" s="4"/>
      <c r="J13" s="337"/>
      <c r="K13" s="338"/>
      <c r="L13" s="338"/>
      <c r="M13" s="338"/>
      <c r="N13" s="338"/>
      <c r="O13" s="339"/>
    </row>
    <row r="14" spans="1:15" s="25" customFormat="1" ht="14.25">
      <c r="A14" s="106">
        <f t="shared" ref="A14:A17" si="0">A13+1</f>
        <v>2</v>
      </c>
      <c r="B14" s="49" t="s">
        <v>43</v>
      </c>
      <c r="C14" s="13" t="s">
        <v>36</v>
      </c>
      <c r="D14" s="9">
        <v>43</v>
      </c>
      <c r="E14" s="33"/>
      <c r="F14" s="33"/>
      <c r="G14" s="4"/>
      <c r="H14" s="34"/>
      <c r="I14" s="4"/>
      <c r="J14" s="337"/>
      <c r="K14" s="338"/>
      <c r="L14" s="338"/>
      <c r="M14" s="338"/>
      <c r="N14" s="338"/>
      <c r="O14" s="339"/>
    </row>
    <row r="15" spans="1:15" s="25" customFormat="1" ht="14.25">
      <c r="A15" s="106">
        <f t="shared" si="0"/>
        <v>3</v>
      </c>
      <c r="B15" s="22" t="s">
        <v>102</v>
      </c>
      <c r="C15" s="35" t="s">
        <v>37</v>
      </c>
      <c r="D15" s="1">
        <v>12.3</v>
      </c>
      <c r="E15" s="33"/>
      <c r="F15" s="33"/>
      <c r="G15" s="4"/>
      <c r="H15" s="34"/>
      <c r="I15" s="4"/>
      <c r="J15" s="337"/>
      <c r="K15" s="338"/>
      <c r="L15" s="338"/>
      <c r="M15" s="338"/>
      <c r="N15" s="338"/>
      <c r="O15" s="339"/>
    </row>
    <row r="16" spans="1:15" s="25" customFormat="1" ht="14.25">
      <c r="A16" s="106">
        <f t="shared" si="0"/>
        <v>4</v>
      </c>
      <c r="B16" s="250" t="s">
        <v>50</v>
      </c>
      <c r="C16" s="35" t="s">
        <v>26</v>
      </c>
      <c r="D16" s="1">
        <f>D15*100*0.025</f>
        <v>30.75</v>
      </c>
      <c r="E16" s="33"/>
      <c r="F16" s="33"/>
      <c r="G16" s="4"/>
      <c r="H16" s="34"/>
      <c r="I16" s="112"/>
      <c r="J16" s="337"/>
      <c r="K16" s="338"/>
      <c r="L16" s="338"/>
      <c r="M16" s="338"/>
      <c r="N16" s="338"/>
      <c r="O16" s="339"/>
    </row>
    <row r="17" spans="1:25" s="25" customFormat="1" ht="14.25">
      <c r="A17" s="106">
        <f t="shared" si="0"/>
        <v>5</v>
      </c>
      <c r="B17" s="2" t="s">
        <v>1230</v>
      </c>
      <c r="C17" s="13" t="s">
        <v>26</v>
      </c>
      <c r="D17" s="9">
        <f>858+357</f>
        <v>1215</v>
      </c>
      <c r="E17" s="33"/>
      <c r="F17" s="33"/>
      <c r="G17" s="4"/>
      <c r="H17" s="4"/>
      <c r="I17" s="4"/>
      <c r="J17" s="337"/>
      <c r="K17" s="338"/>
      <c r="L17" s="338"/>
      <c r="M17" s="338"/>
      <c r="N17" s="338"/>
      <c r="O17" s="339"/>
    </row>
    <row r="18" spans="1:25" s="25" customFormat="1" ht="14.25">
      <c r="A18" s="19" t="s">
        <v>1369</v>
      </c>
      <c r="B18" s="24" t="s">
        <v>92</v>
      </c>
      <c r="C18" s="13" t="s">
        <v>26</v>
      </c>
      <c r="D18" s="9">
        <f>ROUND(D17*1.25,2)</f>
        <v>1518.75</v>
      </c>
      <c r="E18" s="36"/>
      <c r="F18" s="36"/>
      <c r="G18" s="4"/>
      <c r="H18" s="4"/>
      <c r="I18" s="4"/>
      <c r="J18" s="337"/>
      <c r="K18" s="338"/>
      <c r="L18" s="338"/>
      <c r="M18" s="338"/>
      <c r="N18" s="338"/>
      <c r="O18" s="339"/>
    </row>
    <row r="19" spans="1:25" s="197" customFormat="1" ht="13.5" thickBot="1">
      <c r="A19" s="106">
        <v>6</v>
      </c>
      <c r="B19" s="110" t="s">
        <v>46</v>
      </c>
      <c r="C19" s="17" t="s">
        <v>37</v>
      </c>
      <c r="D19" s="120">
        <f>D13*1.05+D15*1.05+D16*1.05/100</f>
        <v>26.782875000000001</v>
      </c>
      <c r="E19" s="40"/>
      <c r="F19" s="40"/>
      <c r="G19" s="16"/>
      <c r="H19" s="16"/>
      <c r="I19" s="16"/>
      <c r="J19" s="337"/>
      <c r="K19" s="338"/>
      <c r="L19" s="338"/>
      <c r="M19" s="338"/>
      <c r="N19" s="338"/>
      <c r="O19" s="339"/>
    </row>
    <row r="20" spans="1:25" s="102" customFormat="1" ht="15.75" thickTop="1" thickBot="1">
      <c r="A20" s="181"/>
      <c r="B20" s="400" t="s">
        <v>1587</v>
      </c>
      <c r="C20" s="401"/>
      <c r="D20" s="401"/>
      <c r="E20" s="401"/>
      <c r="F20" s="401"/>
      <c r="G20" s="401"/>
      <c r="H20" s="401"/>
      <c r="I20" s="401"/>
      <c r="J20" s="402"/>
      <c r="K20" s="182"/>
      <c r="L20" s="182"/>
      <c r="M20" s="182"/>
      <c r="N20" s="182"/>
      <c r="O20" s="183"/>
      <c r="P20" s="25"/>
      <c r="Q20" s="25"/>
      <c r="R20" s="25"/>
      <c r="S20" s="25"/>
      <c r="T20" s="25"/>
      <c r="U20" s="25"/>
      <c r="V20" s="25"/>
      <c r="W20" s="25"/>
      <c r="X20" s="25"/>
      <c r="Y20" s="25"/>
    </row>
    <row r="21" spans="1:25" s="102" customFormat="1" ht="15" thickTop="1">
      <c r="B21" s="200"/>
      <c r="P21" s="25"/>
      <c r="Q21" s="25"/>
      <c r="R21" s="25"/>
      <c r="S21" s="25"/>
      <c r="T21" s="25"/>
      <c r="U21" s="25"/>
      <c r="V21" s="25"/>
      <c r="W21" s="25"/>
      <c r="X21" s="25"/>
      <c r="Y21" s="25"/>
    </row>
    <row r="22" spans="1:25" s="102" customFormat="1" ht="14.25">
      <c r="B22" s="184"/>
      <c r="P22" s="25"/>
      <c r="Q22" s="25"/>
      <c r="R22" s="25"/>
      <c r="S22" s="25"/>
      <c r="T22" s="25"/>
      <c r="U22" s="25"/>
      <c r="V22" s="25"/>
      <c r="W22" s="25"/>
      <c r="X22" s="25"/>
      <c r="Y22" s="25"/>
    </row>
    <row r="23" spans="1:25" s="102" customFormat="1" ht="14.25">
      <c r="A23" s="117"/>
      <c r="B23" s="172" t="s">
        <v>209</v>
      </c>
      <c r="C23" s="117"/>
      <c r="D23" s="117"/>
      <c r="E23" s="117"/>
      <c r="F23" s="117"/>
      <c r="G23" s="117"/>
      <c r="H23" s="117"/>
      <c r="P23" s="25"/>
      <c r="Q23" s="25"/>
      <c r="R23" s="25"/>
      <c r="S23" s="25"/>
      <c r="T23" s="25"/>
      <c r="U23" s="25"/>
      <c r="V23" s="25"/>
      <c r="W23" s="25"/>
      <c r="X23" s="25"/>
      <c r="Y23" s="25"/>
    </row>
    <row r="24" spans="1:25" s="102" customFormat="1" ht="14.25">
      <c r="A24" s="117"/>
      <c r="B24" s="172"/>
      <c r="C24" s="117"/>
      <c r="D24" s="117"/>
      <c r="E24" s="117"/>
      <c r="F24" s="117"/>
      <c r="G24" s="117"/>
      <c r="H24" s="117"/>
      <c r="P24" s="25"/>
      <c r="Q24" s="25"/>
      <c r="R24" s="25"/>
      <c r="S24" s="25"/>
      <c r="T24" s="25"/>
      <c r="U24" s="25"/>
      <c r="V24" s="25"/>
      <c r="W24" s="25"/>
      <c r="X24" s="25"/>
      <c r="Y24" s="25"/>
    </row>
    <row r="25" spans="1:25" s="102" customFormat="1" ht="14.25">
      <c r="B25" s="92">
        <f ca="1">TODAY()</f>
        <v>43206</v>
      </c>
      <c r="P25" s="25"/>
      <c r="Q25" s="25"/>
      <c r="R25" s="25"/>
      <c r="S25" s="25"/>
      <c r="T25" s="25"/>
      <c r="U25" s="25"/>
      <c r="V25" s="25"/>
      <c r="W25" s="25"/>
      <c r="X25" s="25"/>
      <c r="Y25" s="25"/>
    </row>
    <row r="26" spans="1:25" s="102" customFormat="1" ht="14.25">
      <c r="P26" s="25"/>
      <c r="Q26" s="25"/>
      <c r="R26" s="25"/>
      <c r="S26" s="25"/>
      <c r="T26" s="25"/>
      <c r="U26" s="25"/>
      <c r="V26" s="25"/>
      <c r="W26" s="25"/>
      <c r="X26" s="25"/>
      <c r="Y26" s="25"/>
    </row>
    <row r="27" spans="1:25" s="102" customFormat="1" ht="14.25">
      <c r="A27" s="117"/>
      <c r="B27" s="117" t="s">
        <v>1356</v>
      </c>
      <c r="C27" s="117"/>
      <c r="D27" s="117"/>
      <c r="E27" s="117"/>
      <c r="F27" s="117"/>
      <c r="G27" s="117"/>
      <c r="H27" s="117"/>
      <c r="I27" s="117"/>
      <c r="J27" s="117"/>
      <c r="K27" s="117"/>
      <c r="L27" s="117"/>
      <c r="M27" s="117"/>
      <c r="N27" s="117"/>
      <c r="O27" s="117"/>
      <c r="P27" s="25"/>
      <c r="Q27" s="25"/>
      <c r="R27" s="25"/>
      <c r="S27" s="25"/>
      <c r="T27" s="25"/>
      <c r="U27" s="25"/>
      <c r="V27" s="25"/>
      <c r="W27" s="25"/>
      <c r="X27" s="25"/>
      <c r="Y27" s="25"/>
    </row>
    <row r="28" spans="1:25" s="102" customFormat="1" ht="14.25">
      <c r="A28" s="117"/>
      <c r="B28" s="117" t="s">
        <v>1357</v>
      </c>
      <c r="C28" s="117"/>
      <c r="D28" s="117"/>
      <c r="E28" s="117"/>
      <c r="F28" s="117"/>
      <c r="G28" s="117"/>
      <c r="H28" s="117"/>
      <c r="I28" s="117"/>
      <c r="J28" s="117"/>
      <c r="K28" s="117"/>
      <c r="L28" s="117"/>
      <c r="M28" s="117"/>
      <c r="N28" s="117"/>
      <c r="O28" s="117"/>
      <c r="P28" s="25"/>
      <c r="Q28" s="25"/>
      <c r="R28" s="25"/>
      <c r="S28" s="25"/>
      <c r="T28" s="25"/>
      <c r="U28" s="25"/>
      <c r="V28" s="25"/>
      <c r="W28" s="25"/>
      <c r="X28" s="25"/>
      <c r="Y28" s="25"/>
    </row>
    <row r="29" spans="1:25">
      <c r="P29" s="133"/>
      <c r="Q29" s="133"/>
      <c r="R29" s="133"/>
      <c r="S29" s="133"/>
      <c r="T29" s="133"/>
      <c r="U29" s="133"/>
      <c r="V29" s="133"/>
      <c r="W29" s="133"/>
      <c r="X29" s="133"/>
      <c r="Y29" s="133"/>
    </row>
    <row r="30" spans="1:25">
      <c r="P30" s="133"/>
      <c r="Q30" s="133"/>
      <c r="R30" s="133"/>
      <c r="S30" s="133"/>
      <c r="T30" s="133"/>
      <c r="U30" s="133"/>
      <c r="V30" s="133"/>
      <c r="W30" s="133"/>
      <c r="X30" s="133"/>
      <c r="Y30" s="133"/>
    </row>
    <row r="31" spans="1:25">
      <c r="P31" s="133"/>
      <c r="Q31" s="133"/>
      <c r="R31" s="133"/>
      <c r="S31" s="133"/>
      <c r="T31" s="133"/>
      <c r="U31" s="133"/>
      <c r="V31" s="133"/>
      <c r="W31" s="133"/>
      <c r="X31" s="133"/>
      <c r="Y31" s="133"/>
    </row>
    <row r="32" spans="1:25">
      <c r="P32" s="133"/>
      <c r="Q32" s="133"/>
      <c r="R32" s="133"/>
      <c r="S32" s="133"/>
      <c r="T32" s="133"/>
      <c r="U32" s="133"/>
      <c r="V32" s="133"/>
      <c r="W32" s="133"/>
      <c r="X32" s="133"/>
      <c r="Y32" s="133"/>
    </row>
    <row r="33" spans="16:25">
      <c r="P33" s="133"/>
      <c r="Q33" s="133"/>
      <c r="R33" s="133"/>
      <c r="S33" s="133"/>
      <c r="T33" s="133"/>
      <c r="U33" s="133"/>
      <c r="V33" s="133"/>
      <c r="W33" s="133"/>
      <c r="X33" s="133"/>
      <c r="Y33" s="133"/>
    </row>
    <row r="34" spans="16:25">
      <c r="P34" s="133"/>
      <c r="Q34" s="133"/>
      <c r="R34" s="133"/>
      <c r="S34" s="133"/>
      <c r="T34" s="133"/>
      <c r="U34" s="133"/>
      <c r="V34" s="133"/>
      <c r="W34" s="133"/>
      <c r="X34" s="133"/>
      <c r="Y34" s="133"/>
    </row>
    <row r="35" spans="16:25">
      <c r="P35" s="133"/>
      <c r="Q35" s="133"/>
      <c r="R35" s="133"/>
      <c r="S35" s="133"/>
      <c r="T35" s="133"/>
      <c r="U35" s="133"/>
      <c r="V35" s="133"/>
      <c r="W35" s="133"/>
      <c r="X35" s="133"/>
      <c r="Y35" s="133"/>
    </row>
    <row r="36" spans="16:25">
      <c r="P36" s="133"/>
      <c r="Q36" s="133"/>
      <c r="R36" s="133"/>
      <c r="S36" s="133"/>
      <c r="T36" s="133"/>
      <c r="U36" s="133"/>
      <c r="V36" s="133"/>
      <c r="W36" s="133"/>
      <c r="X36" s="133"/>
      <c r="Y36" s="133"/>
    </row>
    <row r="37" spans="16:25">
      <c r="P37" s="133"/>
      <c r="Q37" s="133"/>
      <c r="R37" s="133"/>
      <c r="S37" s="133"/>
      <c r="T37" s="133"/>
      <c r="U37" s="133"/>
      <c r="V37" s="133"/>
      <c r="W37" s="133"/>
      <c r="X37" s="133"/>
      <c r="Y37" s="133"/>
    </row>
    <row r="38" spans="16:25">
      <c r="P38" s="133"/>
      <c r="Q38" s="133"/>
      <c r="R38" s="133"/>
      <c r="S38" s="133"/>
      <c r="T38" s="133"/>
      <c r="U38" s="133"/>
      <c r="V38" s="133"/>
      <c r="W38" s="133"/>
      <c r="X38" s="133"/>
      <c r="Y38" s="133"/>
    </row>
    <row r="39" spans="16:25">
      <c r="P39" s="133"/>
      <c r="Q39" s="133"/>
      <c r="R39" s="133"/>
      <c r="S39" s="133"/>
      <c r="T39" s="133"/>
      <c r="U39" s="133"/>
      <c r="V39" s="133"/>
      <c r="W39" s="133"/>
      <c r="X39" s="133"/>
      <c r="Y39" s="133"/>
    </row>
    <row r="40" spans="16:25">
      <c r="P40" s="133"/>
      <c r="Q40" s="133"/>
      <c r="R40" s="133"/>
      <c r="S40" s="133"/>
      <c r="T40" s="133"/>
      <c r="U40" s="133"/>
      <c r="V40" s="133"/>
      <c r="W40" s="133"/>
      <c r="X40" s="133"/>
      <c r="Y40" s="133"/>
    </row>
    <row r="41" spans="16:25">
      <c r="P41" s="133"/>
      <c r="Q41" s="133"/>
      <c r="R41" s="133"/>
      <c r="S41" s="133"/>
      <c r="T41" s="133"/>
      <c r="U41" s="133"/>
      <c r="V41" s="133"/>
      <c r="W41" s="133"/>
      <c r="X41" s="133"/>
      <c r="Y41" s="133"/>
    </row>
    <row r="42" spans="16:25">
      <c r="P42" s="133"/>
      <c r="Q42" s="133"/>
      <c r="R42" s="133"/>
      <c r="S42" s="133"/>
      <c r="T42" s="133"/>
      <c r="U42" s="133"/>
      <c r="V42" s="133"/>
      <c r="W42" s="133"/>
      <c r="X42" s="133"/>
      <c r="Y42" s="133"/>
    </row>
    <row r="43" spans="16:25">
      <c r="P43" s="133"/>
      <c r="Q43" s="133"/>
      <c r="R43" s="133"/>
      <c r="S43" s="133"/>
      <c r="T43" s="133"/>
      <c r="U43" s="133"/>
      <c r="V43" s="133"/>
      <c r="W43" s="133"/>
      <c r="X43" s="133"/>
      <c r="Y43" s="133"/>
    </row>
    <row r="44" spans="16:25">
      <c r="P44" s="133"/>
      <c r="Q44" s="133"/>
      <c r="R44" s="133"/>
      <c r="S44" s="133"/>
      <c r="T44" s="133"/>
      <c r="U44" s="133"/>
      <c r="V44" s="133"/>
      <c r="W44" s="133"/>
      <c r="X44" s="133"/>
      <c r="Y44" s="133"/>
    </row>
    <row r="45" spans="16:25">
      <c r="P45" s="133"/>
      <c r="Q45" s="133"/>
      <c r="R45" s="133"/>
      <c r="S45" s="133"/>
      <c r="T45" s="133"/>
      <c r="U45" s="133"/>
      <c r="V45" s="133"/>
      <c r="W45" s="133"/>
      <c r="X45" s="133"/>
      <c r="Y45" s="133"/>
    </row>
    <row r="46" spans="16:25">
      <c r="P46" s="133"/>
      <c r="Q46" s="133"/>
      <c r="R46" s="133"/>
      <c r="S46" s="133"/>
      <c r="T46" s="133"/>
      <c r="U46" s="133"/>
      <c r="V46" s="133"/>
      <c r="W46" s="133"/>
      <c r="X46" s="133"/>
      <c r="Y46" s="133"/>
    </row>
    <row r="47" spans="16:25">
      <c r="P47" s="133"/>
      <c r="Q47" s="133"/>
      <c r="R47" s="133"/>
      <c r="S47" s="133"/>
      <c r="T47" s="133"/>
      <c r="U47" s="133"/>
      <c r="V47" s="133"/>
      <c r="W47" s="133"/>
      <c r="X47" s="133"/>
      <c r="Y47" s="133"/>
    </row>
    <row r="48" spans="16:25">
      <c r="P48" s="133"/>
      <c r="Q48" s="133"/>
      <c r="R48" s="133"/>
      <c r="S48" s="133"/>
      <c r="T48" s="133"/>
      <c r="U48" s="133"/>
      <c r="V48" s="133"/>
      <c r="W48" s="133"/>
      <c r="X48" s="133"/>
      <c r="Y48" s="133"/>
    </row>
    <row r="49" spans="16:25">
      <c r="P49" s="133"/>
      <c r="Q49" s="133"/>
      <c r="R49" s="133"/>
      <c r="S49" s="133"/>
      <c r="T49" s="133"/>
      <c r="U49" s="133"/>
      <c r="V49" s="133"/>
      <c r="W49" s="133"/>
      <c r="X49" s="133"/>
      <c r="Y49" s="133"/>
    </row>
    <row r="50" spans="16:25">
      <c r="P50" s="133"/>
      <c r="Q50" s="133"/>
      <c r="R50" s="133"/>
      <c r="S50" s="133"/>
      <c r="T50" s="133"/>
      <c r="U50" s="133"/>
      <c r="V50" s="133"/>
      <c r="W50" s="133"/>
      <c r="X50" s="133"/>
      <c r="Y50" s="133"/>
    </row>
    <row r="51" spans="16:25">
      <c r="P51" s="133"/>
      <c r="Q51" s="133"/>
      <c r="R51" s="133"/>
      <c r="S51" s="133"/>
      <c r="T51" s="133"/>
      <c r="U51" s="133"/>
      <c r="V51" s="133"/>
      <c r="W51" s="133"/>
      <c r="X51" s="133"/>
      <c r="Y51" s="133"/>
    </row>
    <row r="52" spans="16:25">
      <c r="P52" s="133"/>
      <c r="Q52" s="133"/>
      <c r="R52" s="133"/>
      <c r="S52" s="133"/>
      <c r="T52" s="133"/>
      <c r="U52" s="133"/>
      <c r="V52" s="133"/>
      <c r="W52" s="133"/>
      <c r="X52" s="133"/>
      <c r="Y52" s="133"/>
    </row>
    <row r="53" spans="16:25">
      <c r="P53" s="133"/>
      <c r="Q53" s="133"/>
      <c r="R53" s="133"/>
      <c r="S53" s="133"/>
      <c r="T53" s="133"/>
      <c r="U53" s="133"/>
      <c r="V53" s="133"/>
      <c r="W53" s="133"/>
      <c r="X53" s="133"/>
      <c r="Y53" s="133"/>
    </row>
    <row r="54" spans="16:25">
      <c r="P54" s="133"/>
      <c r="Q54" s="133"/>
      <c r="R54" s="133"/>
      <c r="S54" s="133"/>
      <c r="T54" s="133"/>
      <c r="U54" s="133"/>
      <c r="V54" s="133"/>
      <c r="W54" s="133"/>
      <c r="X54" s="133"/>
      <c r="Y54" s="133"/>
    </row>
    <row r="55" spans="16:25">
      <c r="P55" s="133"/>
      <c r="Q55" s="133"/>
      <c r="R55" s="133"/>
      <c r="S55" s="133"/>
      <c r="T55" s="133"/>
      <c r="U55" s="133"/>
      <c r="V55" s="133"/>
      <c r="W55" s="133"/>
      <c r="X55" s="133"/>
      <c r="Y55" s="133"/>
    </row>
    <row r="56" spans="16:25">
      <c r="P56" s="133"/>
      <c r="Q56" s="133"/>
      <c r="R56" s="133"/>
      <c r="S56" s="133"/>
      <c r="T56" s="133"/>
      <c r="U56" s="133"/>
      <c r="V56" s="133"/>
      <c r="W56" s="133"/>
      <c r="X56" s="133"/>
      <c r="Y56" s="133"/>
    </row>
    <row r="57" spans="16:25">
      <c r="P57" s="133"/>
      <c r="Q57" s="133"/>
      <c r="R57" s="133"/>
      <c r="S57" s="133"/>
      <c r="T57" s="133"/>
      <c r="U57" s="133"/>
      <c r="V57" s="133"/>
      <c r="W57" s="133"/>
      <c r="X57" s="133"/>
      <c r="Y57" s="133"/>
    </row>
    <row r="58" spans="16:25">
      <c r="P58" s="133"/>
      <c r="Q58" s="133"/>
      <c r="R58" s="133"/>
      <c r="S58" s="133"/>
      <c r="T58" s="133"/>
      <c r="U58" s="133"/>
      <c r="V58" s="133"/>
      <c r="W58" s="133"/>
      <c r="X58" s="133"/>
      <c r="Y58" s="133"/>
    </row>
    <row r="59" spans="16:25">
      <c r="P59" s="133"/>
      <c r="Q59" s="133"/>
      <c r="R59" s="133"/>
      <c r="S59" s="133"/>
      <c r="T59" s="133"/>
      <c r="U59" s="133"/>
      <c r="V59" s="133"/>
      <c r="W59" s="133"/>
      <c r="X59" s="133"/>
      <c r="Y59" s="133"/>
    </row>
    <row r="60" spans="16:25">
      <c r="P60" s="133"/>
      <c r="Q60" s="133"/>
      <c r="R60" s="133"/>
      <c r="S60" s="133"/>
      <c r="T60" s="133"/>
      <c r="U60" s="133"/>
      <c r="V60" s="133"/>
      <c r="W60" s="133"/>
      <c r="X60" s="133"/>
      <c r="Y60" s="133"/>
    </row>
    <row r="61" spans="16:25">
      <c r="P61" s="133"/>
      <c r="Q61" s="133"/>
      <c r="R61" s="133"/>
      <c r="S61" s="133"/>
      <c r="T61" s="133"/>
      <c r="U61" s="133"/>
      <c r="V61" s="133"/>
      <c r="W61" s="133"/>
      <c r="X61" s="133"/>
      <c r="Y61" s="133"/>
    </row>
    <row r="62" spans="16:25">
      <c r="P62" s="133"/>
      <c r="Q62" s="133"/>
      <c r="R62" s="133"/>
      <c r="S62" s="133"/>
      <c r="T62" s="133"/>
      <c r="U62" s="133"/>
      <c r="V62" s="133"/>
      <c r="W62" s="133"/>
      <c r="X62" s="133"/>
      <c r="Y62" s="133"/>
    </row>
    <row r="63" spans="16:25">
      <c r="P63" s="133"/>
      <c r="Q63" s="133"/>
      <c r="R63" s="133"/>
      <c r="S63" s="133"/>
      <c r="T63" s="133"/>
      <c r="U63" s="133"/>
      <c r="V63" s="133"/>
      <c r="W63" s="133"/>
      <c r="X63" s="133"/>
      <c r="Y63" s="133"/>
    </row>
    <row r="64" spans="16:25">
      <c r="P64" s="133"/>
      <c r="Q64" s="133"/>
      <c r="R64" s="133"/>
      <c r="S64" s="133"/>
      <c r="T64" s="133"/>
      <c r="U64" s="133"/>
      <c r="V64" s="133"/>
      <c r="W64" s="133"/>
      <c r="X64" s="133"/>
      <c r="Y64" s="133"/>
    </row>
    <row r="65" spans="16:25">
      <c r="P65" s="133"/>
      <c r="Q65" s="133"/>
      <c r="R65" s="133"/>
      <c r="S65" s="133"/>
      <c r="T65" s="133"/>
      <c r="U65" s="133"/>
      <c r="V65" s="133"/>
      <c r="W65" s="133"/>
      <c r="X65" s="133"/>
      <c r="Y65" s="133"/>
    </row>
    <row r="66" spans="16:25">
      <c r="P66" s="133"/>
      <c r="Q66" s="133"/>
      <c r="R66" s="133"/>
      <c r="S66" s="133"/>
      <c r="T66" s="133"/>
      <c r="U66" s="133"/>
      <c r="V66" s="133"/>
      <c r="W66" s="133"/>
      <c r="X66" s="133"/>
      <c r="Y66" s="133"/>
    </row>
    <row r="67" spans="16:25">
      <c r="P67" s="133"/>
      <c r="Q67" s="133"/>
      <c r="R67" s="133"/>
      <c r="S67" s="133"/>
      <c r="T67" s="133"/>
      <c r="U67" s="133"/>
      <c r="V67" s="133"/>
      <c r="W67" s="133"/>
      <c r="X67" s="133"/>
      <c r="Y67" s="133"/>
    </row>
    <row r="68" spans="16:25">
      <c r="P68" s="133"/>
      <c r="Q68" s="133"/>
      <c r="R68" s="133"/>
      <c r="S68" s="133"/>
      <c r="T68" s="133"/>
      <c r="U68" s="133"/>
      <c r="V68" s="133"/>
      <c r="W68" s="133"/>
      <c r="X68" s="133"/>
      <c r="Y68" s="133"/>
    </row>
    <row r="69" spans="16:25">
      <c r="P69" s="133"/>
      <c r="Q69" s="133"/>
      <c r="R69" s="133"/>
      <c r="S69" s="133"/>
      <c r="T69" s="133"/>
      <c r="U69" s="133"/>
      <c r="V69" s="133"/>
      <c r="W69" s="133"/>
      <c r="X69" s="133"/>
      <c r="Y69" s="133"/>
    </row>
    <row r="70" spans="16:25">
      <c r="P70" s="133"/>
      <c r="Q70" s="133"/>
      <c r="R70" s="133"/>
      <c r="S70" s="133"/>
      <c r="T70" s="133"/>
      <c r="U70" s="133"/>
      <c r="V70" s="133"/>
      <c r="W70" s="133"/>
      <c r="X70" s="133"/>
      <c r="Y70" s="133"/>
    </row>
    <row r="71" spans="16:25">
      <c r="P71" s="133"/>
      <c r="Q71" s="133"/>
      <c r="R71" s="133"/>
      <c r="S71" s="133"/>
      <c r="T71" s="133"/>
      <c r="U71" s="133"/>
      <c r="V71" s="133"/>
      <c r="W71" s="133"/>
      <c r="X71" s="133"/>
      <c r="Y71" s="133"/>
    </row>
    <row r="72" spans="16:25">
      <c r="P72" s="133"/>
      <c r="Q72" s="133"/>
      <c r="R72" s="133"/>
      <c r="S72" s="133"/>
      <c r="T72" s="133"/>
      <c r="U72" s="133"/>
      <c r="V72" s="133"/>
      <c r="W72" s="133"/>
      <c r="X72" s="133"/>
      <c r="Y72" s="133"/>
    </row>
    <row r="73" spans="16:25">
      <c r="P73" s="133"/>
      <c r="Q73" s="133"/>
      <c r="R73" s="133"/>
      <c r="S73" s="133"/>
      <c r="T73" s="133"/>
      <c r="U73" s="133"/>
      <c r="V73" s="133"/>
      <c r="W73" s="133"/>
      <c r="X73" s="133"/>
      <c r="Y73" s="133"/>
    </row>
    <row r="74" spans="16:25">
      <c r="P74" s="133"/>
      <c r="Q74" s="133"/>
      <c r="R74" s="133"/>
      <c r="S74" s="133"/>
      <c r="T74" s="133"/>
      <c r="U74" s="133"/>
      <c r="V74" s="133"/>
      <c r="W74" s="133"/>
      <c r="X74" s="133"/>
      <c r="Y74" s="133"/>
    </row>
    <row r="75" spans="16:25">
      <c r="P75" s="133"/>
      <c r="Q75" s="133"/>
      <c r="R75" s="133"/>
      <c r="S75" s="133"/>
      <c r="T75" s="133"/>
      <c r="U75" s="133"/>
      <c r="V75" s="133"/>
      <c r="W75" s="133"/>
      <c r="X75" s="133"/>
      <c r="Y75" s="133"/>
    </row>
    <row r="76" spans="16:25">
      <c r="P76" s="133"/>
      <c r="Q76" s="133"/>
      <c r="R76" s="133"/>
      <c r="S76" s="133"/>
      <c r="T76" s="133"/>
      <c r="U76" s="133"/>
      <c r="V76" s="133"/>
      <c r="W76" s="133"/>
      <c r="X76" s="133"/>
      <c r="Y76" s="133"/>
    </row>
    <row r="77" spans="16:25">
      <c r="P77" s="133"/>
      <c r="Q77" s="133"/>
      <c r="R77" s="133"/>
      <c r="S77" s="133"/>
      <c r="T77" s="133"/>
      <c r="U77" s="133"/>
      <c r="V77" s="133"/>
      <c r="W77" s="133"/>
      <c r="X77" s="133"/>
      <c r="Y77" s="133"/>
    </row>
    <row r="78" spans="16:25">
      <c r="P78" s="133"/>
      <c r="Q78" s="133"/>
      <c r="R78" s="133"/>
      <c r="S78" s="133"/>
      <c r="T78" s="133"/>
      <c r="U78" s="133"/>
      <c r="V78" s="133"/>
      <c r="W78" s="133"/>
      <c r="X78" s="133"/>
      <c r="Y78" s="133"/>
    </row>
    <row r="79" spans="16:25">
      <c r="P79" s="133"/>
      <c r="Q79" s="133"/>
      <c r="R79" s="133"/>
      <c r="S79" s="133"/>
      <c r="T79" s="133"/>
      <c r="U79" s="133"/>
      <c r="V79" s="133"/>
      <c r="W79" s="133"/>
      <c r="X79" s="133"/>
      <c r="Y79" s="133"/>
    </row>
    <row r="80" spans="16:25">
      <c r="P80" s="133"/>
      <c r="Q80" s="133"/>
      <c r="R80" s="133"/>
      <c r="S80" s="133"/>
      <c r="T80" s="133"/>
      <c r="U80" s="133"/>
      <c r="V80" s="133"/>
      <c r="W80" s="133"/>
      <c r="X80" s="133"/>
      <c r="Y80" s="133"/>
    </row>
    <row r="81" spans="16:25">
      <c r="P81" s="133"/>
      <c r="Q81" s="133"/>
      <c r="R81" s="133"/>
      <c r="S81" s="133"/>
      <c r="T81" s="133"/>
      <c r="U81" s="133"/>
      <c r="V81" s="133"/>
      <c r="W81" s="133"/>
      <c r="X81" s="133"/>
      <c r="Y81" s="133"/>
    </row>
    <row r="82" spans="16:25">
      <c r="P82" s="133"/>
      <c r="Q82" s="133"/>
      <c r="R82" s="133"/>
      <c r="S82" s="133"/>
      <c r="T82" s="133"/>
      <c r="U82" s="133"/>
      <c r="V82" s="133"/>
      <c r="W82" s="133"/>
      <c r="X82" s="133"/>
      <c r="Y82" s="133"/>
    </row>
    <row r="83" spans="16:25">
      <c r="P83" s="133"/>
      <c r="Q83" s="133"/>
      <c r="R83" s="133"/>
      <c r="S83" s="133"/>
      <c r="T83" s="133"/>
      <c r="U83" s="133"/>
      <c r="V83" s="133"/>
      <c r="W83" s="133"/>
      <c r="X83" s="133"/>
      <c r="Y83" s="133"/>
    </row>
    <row r="84" spans="16:25">
      <c r="P84" s="133"/>
      <c r="Q84" s="133"/>
      <c r="R84" s="133"/>
      <c r="S84" s="133"/>
      <c r="T84" s="133"/>
      <c r="U84" s="133"/>
      <c r="V84" s="133"/>
      <c r="W84" s="133"/>
      <c r="X84" s="133"/>
      <c r="Y84" s="133"/>
    </row>
    <row r="85" spans="16:25">
      <c r="P85" s="133"/>
      <c r="Q85" s="133"/>
      <c r="R85" s="133"/>
      <c r="S85" s="133"/>
      <c r="T85" s="133"/>
      <c r="U85" s="133"/>
      <c r="V85" s="133"/>
      <c r="W85" s="133"/>
      <c r="X85" s="133"/>
      <c r="Y85" s="133"/>
    </row>
    <row r="86" spans="16:25">
      <c r="P86" s="133"/>
      <c r="Q86" s="133"/>
      <c r="R86" s="133"/>
      <c r="S86" s="133"/>
      <c r="T86" s="133"/>
      <c r="U86" s="133"/>
      <c r="V86" s="133"/>
      <c r="W86" s="133"/>
      <c r="X86" s="133"/>
      <c r="Y86" s="133"/>
    </row>
    <row r="87" spans="16:25">
      <c r="P87" s="133"/>
      <c r="Q87" s="133"/>
      <c r="R87" s="133"/>
      <c r="S87" s="133"/>
      <c r="T87" s="133"/>
      <c r="U87" s="133"/>
      <c r="V87" s="133"/>
      <c r="W87" s="133"/>
      <c r="X87" s="133"/>
      <c r="Y87" s="133"/>
    </row>
    <row r="88" spans="16:25">
      <c r="P88" s="133"/>
      <c r="Q88" s="133"/>
      <c r="R88" s="133"/>
      <c r="S88" s="133"/>
      <c r="T88" s="133"/>
      <c r="U88" s="133"/>
      <c r="V88" s="133"/>
      <c r="W88" s="133"/>
      <c r="X88" s="133"/>
      <c r="Y88" s="133"/>
    </row>
    <row r="89" spans="16:25">
      <c r="P89" s="133"/>
      <c r="Q89" s="133"/>
      <c r="R89" s="133"/>
      <c r="S89" s="133"/>
      <c r="T89" s="133"/>
      <c r="U89" s="133"/>
      <c r="V89" s="133"/>
      <c r="W89" s="133"/>
      <c r="X89" s="133"/>
      <c r="Y89" s="133"/>
    </row>
    <row r="90" spans="16:25">
      <c r="P90" s="133"/>
      <c r="Q90" s="133"/>
      <c r="R90" s="133"/>
      <c r="S90" s="133"/>
      <c r="T90" s="133"/>
      <c r="U90" s="133"/>
      <c r="V90" s="133"/>
      <c r="W90" s="133"/>
      <c r="X90" s="133"/>
      <c r="Y90" s="133"/>
    </row>
    <row r="91" spans="16:25">
      <c r="P91" s="133"/>
      <c r="Q91" s="133"/>
      <c r="R91" s="133"/>
      <c r="S91" s="133"/>
      <c r="T91" s="133"/>
      <c r="U91" s="133"/>
      <c r="V91" s="133"/>
      <c r="W91" s="133"/>
      <c r="X91" s="133"/>
      <c r="Y91" s="133"/>
    </row>
    <row r="92" spans="16:25">
      <c r="P92" s="133"/>
      <c r="Q92" s="133"/>
      <c r="R92" s="133"/>
      <c r="S92" s="133"/>
      <c r="T92" s="133"/>
      <c r="U92" s="133"/>
      <c r="V92" s="133"/>
      <c r="W92" s="133"/>
      <c r="X92" s="133"/>
      <c r="Y92" s="133"/>
    </row>
    <row r="93" spans="16:25">
      <c r="P93" s="133"/>
      <c r="Q93" s="133"/>
      <c r="R93" s="133"/>
      <c r="S93" s="133"/>
      <c r="T93" s="133"/>
      <c r="U93" s="133"/>
      <c r="V93" s="133"/>
      <c r="W93" s="133"/>
      <c r="X93" s="133"/>
      <c r="Y93" s="133"/>
    </row>
    <row r="94" spans="16:25">
      <c r="P94" s="133"/>
      <c r="Q94" s="133"/>
      <c r="R94" s="133"/>
      <c r="S94" s="133"/>
      <c r="T94" s="133"/>
      <c r="U94" s="133"/>
      <c r="V94" s="133"/>
      <c r="W94" s="133"/>
      <c r="X94" s="133"/>
      <c r="Y94" s="133"/>
    </row>
    <row r="95" spans="16:25">
      <c r="P95" s="133"/>
      <c r="Q95" s="133"/>
      <c r="R95" s="133"/>
      <c r="S95" s="133"/>
      <c r="T95" s="133"/>
      <c r="U95" s="133"/>
      <c r="V95" s="133"/>
      <c r="W95" s="133"/>
      <c r="X95" s="133"/>
      <c r="Y95" s="133"/>
    </row>
    <row r="96" spans="16:25">
      <c r="P96" s="133"/>
      <c r="Q96" s="133"/>
      <c r="R96" s="133"/>
      <c r="S96" s="133"/>
      <c r="T96" s="133"/>
      <c r="U96" s="133"/>
      <c r="V96" s="133"/>
      <c r="W96" s="133"/>
      <c r="X96" s="133"/>
      <c r="Y96" s="133"/>
    </row>
    <row r="97" spans="16:25">
      <c r="P97" s="133"/>
      <c r="Q97" s="133"/>
      <c r="R97" s="133"/>
      <c r="S97" s="133"/>
      <c r="T97" s="133"/>
      <c r="U97" s="133"/>
      <c r="V97" s="133"/>
      <c r="W97" s="133"/>
      <c r="X97" s="133"/>
      <c r="Y97" s="133"/>
    </row>
    <row r="98" spans="16:25">
      <c r="P98" s="133"/>
      <c r="Q98" s="133"/>
      <c r="R98" s="133"/>
      <c r="S98" s="133"/>
      <c r="T98" s="133"/>
      <c r="U98" s="133"/>
      <c r="V98" s="133"/>
      <c r="W98" s="133"/>
      <c r="X98" s="133"/>
      <c r="Y98" s="133"/>
    </row>
    <row r="99" spans="16:25">
      <c r="P99" s="133"/>
      <c r="Q99" s="133"/>
      <c r="R99" s="133"/>
      <c r="S99" s="133"/>
      <c r="T99" s="133"/>
      <c r="U99" s="133"/>
      <c r="V99" s="133"/>
      <c r="W99" s="133"/>
      <c r="X99" s="133"/>
      <c r="Y99" s="133"/>
    </row>
    <row r="100" spans="16:25">
      <c r="P100" s="133"/>
      <c r="Q100" s="133"/>
      <c r="R100" s="133"/>
      <c r="S100" s="133"/>
      <c r="T100" s="133"/>
      <c r="U100" s="133"/>
      <c r="V100" s="133"/>
      <c r="W100" s="133"/>
      <c r="X100" s="133"/>
      <c r="Y100" s="133"/>
    </row>
    <row r="101" spans="16:25">
      <c r="P101" s="133"/>
      <c r="Q101" s="133"/>
      <c r="R101" s="133"/>
      <c r="S101" s="133"/>
      <c r="T101" s="133"/>
      <c r="U101" s="133"/>
      <c r="V101" s="133"/>
      <c r="W101" s="133"/>
      <c r="X101" s="133"/>
      <c r="Y101" s="133"/>
    </row>
    <row r="102" spans="16:25">
      <c r="P102" s="133"/>
      <c r="Q102" s="133"/>
      <c r="R102" s="133"/>
      <c r="S102" s="133"/>
      <c r="T102" s="133"/>
      <c r="U102" s="133"/>
      <c r="V102" s="133"/>
      <c r="W102" s="133"/>
      <c r="X102" s="133"/>
      <c r="Y102" s="133"/>
    </row>
    <row r="103" spans="16:25">
      <c r="P103" s="133"/>
      <c r="Q103" s="133"/>
      <c r="R103" s="133"/>
      <c r="S103" s="133"/>
      <c r="T103" s="133"/>
      <c r="U103" s="133"/>
      <c r="V103" s="133"/>
      <c r="W103" s="133"/>
      <c r="X103" s="133"/>
      <c r="Y103" s="133"/>
    </row>
    <row r="104" spans="16:25">
      <c r="P104" s="133"/>
      <c r="Q104" s="133"/>
      <c r="R104" s="133"/>
      <c r="S104" s="133"/>
      <c r="T104" s="133"/>
      <c r="U104" s="133"/>
      <c r="V104" s="133"/>
      <c r="W104" s="133"/>
      <c r="X104" s="133"/>
      <c r="Y104" s="133"/>
    </row>
    <row r="105" spans="16:25">
      <c r="P105" s="133"/>
      <c r="Q105" s="133"/>
      <c r="R105" s="133"/>
      <c r="S105" s="133"/>
      <c r="T105" s="133"/>
      <c r="U105" s="133"/>
      <c r="V105" s="133"/>
      <c r="W105" s="133"/>
      <c r="X105" s="133"/>
      <c r="Y105" s="133"/>
    </row>
    <row r="106" spans="16:25">
      <c r="P106" s="133"/>
      <c r="Q106" s="133"/>
      <c r="R106" s="133"/>
      <c r="S106" s="133"/>
      <c r="T106" s="133"/>
      <c r="U106" s="133"/>
      <c r="V106" s="133"/>
      <c r="W106" s="133"/>
      <c r="X106" s="133"/>
      <c r="Y106" s="133"/>
    </row>
    <row r="107" spans="16:25">
      <c r="P107" s="133"/>
      <c r="Q107" s="133"/>
      <c r="R107" s="133"/>
      <c r="S107" s="133"/>
      <c r="T107" s="133"/>
      <c r="U107" s="133"/>
      <c r="V107" s="133"/>
      <c r="W107" s="133"/>
      <c r="X107" s="133"/>
      <c r="Y107" s="133"/>
    </row>
    <row r="108" spans="16:25">
      <c r="P108" s="133"/>
      <c r="Q108" s="133"/>
      <c r="R108" s="133"/>
      <c r="S108" s="133"/>
      <c r="T108" s="133"/>
      <c r="U108" s="133"/>
      <c r="V108" s="133"/>
      <c r="W108" s="133"/>
      <c r="X108" s="133"/>
      <c r="Y108" s="133"/>
    </row>
    <row r="109" spans="16:25">
      <c r="P109" s="133"/>
      <c r="Q109" s="133"/>
      <c r="R109" s="133"/>
      <c r="S109" s="133"/>
      <c r="T109" s="133"/>
      <c r="U109" s="133"/>
      <c r="V109" s="133"/>
      <c r="W109" s="133"/>
      <c r="X109" s="133"/>
      <c r="Y109" s="133"/>
    </row>
    <row r="110" spans="16:25">
      <c r="P110" s="133"/>
      <c r="Q110" s="133"/>
      <c r="R110" s="133"/>
      <c r="S110" s="133"/>
      <c r="T110" s="133"/>
      <c r="U110" s="133"/>
      <c r="V110" s="133"/>
      <c r="W110" s="133"/>
      <c r="X110" s="133"/>
      <c r="Y110" s="133"/>
    </row>
    <row r="111" spans="16:25">
      <c r="P111" s="133"/>
      <c r="Q111" s="133"/>
      <c r="R111" s="133"/>
      <c r="S111" s="133"/>
      <c r="T111" s="133"/>
      <c r="U111" s="133"/>
      <c r="V111" s="133"/>
      <c r="W111" s="133"/>
      <c r="X111" s="133"/>
      <c r="Y111" s="133"/>
    </row>
    <row r="112" spans="16:25">
      <c r="P112" s="133"/>
      <c r="Q112" s="133"/>
      <c r="R112" s="133"/>
      <c r="S112" s="133"/>
      <c r="T112" s="133"/>
      <c r="U112" s="133"/>
      <c r="V112" s="133"/>
      <c r="W112" s="133"/>
      <c r="X112" s="133"/>
      <c r="Y112" s="133"/>
    </row>
    <row r="113" spans="16:25">
      <c r="P113" s="133"/>
      <c r="Q113" s="133"/>
      <c r="R113" s="133"/>
      <c r="S113" s="133"/>
      <c r="T113" s="133"/>
      <c r="U113" s="133"/>
      <c r="V113" s="133"/>
      <c r="W113" s="133"/>
      <c r="X113" s="133"/>
      <c r="Y113" s="133"/>
    </row>
    <row r="114" spans="16:25">
      <c r="P114" s="133"/>
      <c r="Q114" s="133"/>
      <c r="R114" s="133"/>
      <c r="S114" s="133"/>
      <c r="T114" s="133"/>
      <c r="U114" s="133"/>
      <c r="V114" s="133"/>
      <c r="W114" s="133"/>
      <c r="X114" s="133"/>
      <c r="Y114" s="133"/>
    </row>
    <row r="115" spans="16:25">
      <c r="P115" s="133"/>
      <c r="Q115" s="133"/>
      <c r="R115" s="133"/>
      <c r="S115" s="133"/>
      <c r="T115" s="133"/>
      <c r="U115" s="133"/>
      <c r="V115" s="133"/>
      <c r="W115" s="133"/>
      <c r="X115" s="133"/>
      <c r="Y115" s="133"/>
    </row>
    <row r="116" spans="16:25">
      <c r="P116" s="133"/>
      <c r="Q116" s="133"/>
      <c r="R116" s="133"/>
      <c r="S116" s="133"/>
      <c r="T116" s="133"/>
      <c r="U116" s="133"/>
      <c r="V116" s="133"/>
      <c r="W116" s="133"/>
      <c r="X116" s="133"/>
      <c r="Y116" s="133"/>
    </row>
    <row r="117" spans="16:25">
      <c r="P117" s="133"/>
      <c r="Q117" s="133"/>
      <c r="R117" s="133"/>
      <c r="S117" s="133"/>
      <c r="T117" s="133"/>
      <c r="U117" s="133"/>
      <c r="V117" s="133"/>
      <c r="W117" s="133"/>
      <c r="X117" s="133"/>
      <c r="Y117" s="133"/>
    </row>
    <row r="118" spans="16:25">
      <c r="P118" s="133"/>
      <c r="Q118" s="133"/>
      <c r="R118" s="133"/>
      <c r="S118" s="133"/>
      <c r="T118" s="133"/>
      <c r="U118" s="133"/>
      <c r="V118" s="133"/>
      <c r="W118" s="133"/>
      <c r="X118" s="133"/>
      <c r="Y118" s="133"/>
    </row>
    <row r="119" spans="16:25">
      <c r="P119" s="133"/>
      <c r="Q119" s="133"/>
      <c r="R119" s="133"/>
      <c r="S119" s="133"/>
      <c r="T119" s="133"/>
      <c r="U119" s="133"/>
      <c r="V119" s="133"/>
      <c r="W119" s="133"/>
      <c r="X119" s="133"/>
      <c r="Y119" s="133"/>
    </row>
    <row r="120" spans="16:25">
      <c r="P120" s="133"/>
      <c r="Q120" s="133"/>
      <c r="R120" s="133"/>
      <c r="S120" s="133"/>
      <c r="T120" s="133"/>
      <c r="U120" s="133"/>
      <c r="V120" s="133"/>
      <c r="W120" s="133"/>
      <c r="X120" s="133"/>
      <c r="Y120" s="133"/>
    </row>
    <row r="121" spans="16:25">
      <c r="P121" s="133"/>
      <c r="Q121" s="133"/>
      <c r="R121" s="133"/>
      <c r="S121" s="133"/>
      <c r="T121" s="133"/>
      <c r="U121" s="133"/>
      <c r="V121" s="133"/>
      <c r="W121" s="133"/>
      <c r="X121" s="133"/>
      <c r="Y121" s="133"/>
    </row>
    <row r="122" spans="16:25">
      <c r="P122" s="133"/>
      <c r="Q122" s="133"/>
      <c r="R122" s="133"/>
      <c r="S122" s="133"/>
      <c r="T122" s="133"/>
      <c r="U122" s="133"/>
      <c r="V122" s="133"/>
      <c r="W122" s="133"/>
      <c r="X122" s="133"/>
      <c r="Y122" s="133"/>
    </row>
    <row r="123" spans="16:25">
      <c r="P123" s="133"/>
      <c r="Q123" s="133"/>
      <c r="R123" s="133"/>
      <c r="S123" s="133"/>
      <c r="T123" s="133"/>
      <c r="U123" s="133"/>
      <c r="V123" s="133"/>
      <c r="W123" s="133"/>
      <c r="X123" s="133"/>
      <c r="Y123" s="133"/>
    </row>
    <row r="124" spans="16:25">
      <c r="P124" s="133"/>
      <c r="Q124" s="133"/>
      <c r="R124" s="133"/>
      <c r="S124" s="133"/>
      <c r="T124" s="133"/>
      <c r="U124" s="133"/>
      <c r="V124" s="133"/>
      <c r="W124" s="133"/>
      <c r="X124" s="133"/>
      <c r="Y124" s="133"/>
    </row>
    <row r="125" spans="16:25">
      <c r="P125" s="133"/>
      <c r="Q125" s="133"/>
      <c r="R125" s="133"/>
      <c r="S125" s="133"/>
      <c r="T125" s="133"/>
      <c r="U125" s="133"/>
      <c r="V125" s="133"/>
      <c r="W125" s="133"/>
      <c r="X125" s="133"/>
      <c r="Y125" s="133"/>
    </row>
    <row r="126" spans="16:25">
      <c r="P126" s="133"/>
      <c r="Q126" s="133"/>
      <c r="R126" s="133"/>
      <c r="S126" s="133"/>
      <c r="T126" s="133"/>
      <c r="U126" s="133"/>
      <c r="V126" s="133"/>
      <c r="W126" s="133"/>
      <c r="X126" s="133"/>
      <c r="Y126" s="133"/>
    </row>
    <row r="127" spans="16:25">
      <c r="P127" s="133"/>
      <c r="Q127" s="133"/>
      <c r="R127" s="133"/>
      <c r="S127" s="133"/>
      <c r="T127" s="133"/>
      <c r="U127" s="133"/>
      <c r="V127" s="133"/>
      <c r="W127" s="133"/>
      <c r="X127" s="133"/>
      <c r="Y127" s="133"/>
    </row>
    <row r="128" spans="16:25">
      <c r="P128" s="133"/>
      <c r="Q128" s="133"/>
      <c r="R128" s="133"/>
      <c r="S128" s="133"/>
      <c r="T128" s="133"/>
      <c r="U128" s="133"/>
      <c r="V128" s="133"/>
      <c r="W128" s="133"/>
      <c r="X128" s="133"/>
      <c r="Y128" s="133"/>
    </row>
    <row r="129" spans="16:25">
      <c r="P129" s="133"/>
      <c r="Q129" s="133"/>
      <c r="R129" s="133"/>
      <c r="S129" s="133"/>
      <c r="T129" s="133"/>
      <c r="U129" s="133"/>
      <c r="V129" s="133"/>
      <c r="W129" s="133"/>
      <c r="X129" s="133"/>
      <c r="Y129" s="133"/>
    </row>
    <row r="130" spans="16:25">
      <c r="P130" s="133"/>
      <c r="Q130" s="133"/>
      <c r="R130" s="133"/>
      <c r="S130" s="133"/>
      <c r="T130" s="133"/>
      <c r="U130" s="133"/>
      <c r="V130" s="133"/>
      <c r="W130" s="133"/>
      <c r="X130" s="133"/>
      <c r="Y130" s="133"/>
    </row>
    <row r="131" spans="16:25">
      <c r="P131" s="133"/>
      <c r="Q131" s="133"/>
      <c r="R131" s="133"/>
      <c r="S131" s="133"/>
      <c r="T131" s="133"/>
      <c r="U131" s="133"/>
      <c r="V131" s="133"/>
      <c r="W131" s="133"/>
      <c r="X131" s="133"/>
      <c r="Y131" s="133"/>
    </row>
    <row r="132" spans="16:25">
      <c r="P132" s="133"/>
      <c r="Q132" s="133"/>
      <c r="R132" s="133"/>
      <c r="S132" s="133"/>
      <c r="T132" s="133"/>
      <c r="U132" s="133"/>
      <c r="V132" s="133"/>
      <c r="W132" s="133"/>
      <c r="X132" s="133"/>
      <c r="Y132" s="133"/>
    </row>
    <row r="133" spans="16:25">
      <c r="P133" s="133"/>
      <c r="Q133" s="133"/>
      <c r="R133" s="133"/>
      <c r="S133" s="133"/>
      <c r="T133" s="133"/>
      <c r="U133" s="133"/>
      <c r="V133" s="133"/>
      <c r="W133" s="133"/>
      <c r="X133" s="133"/>
      <c r="Y133" s="133"/>
    </row>
    <row r="134" spans="16:25">
      <c r="P134" s="133"/>
      <c r="Q134" s="133"/>
      <c r="R134" s="133"/>
      <c r="S134" s="133"/>
      <c r="T134" s="133"/>
      <c r="U134" s="133"/>
      <c r="V134" s="133"/>
      <c r="W134" s="133"/>
      <c r="X134" s="133"/>
      <c r="Y134" s="133"/>
    </row>
    <row r="135" spans="16:25">
      <c r="P135" s="133"/>
      <c r="Q135" s="133"/>
      <c r="R135" s="133"/>
      <c r="S135" s="133"/>
      <c r="T135" s="133"/>
      <c r="U135" s="133"/>
      <c r="V135" s="133"/>
      <c r="W135" s="133"/>
      <c r="X135" s="133"/>
      <c r="Y135" s="133"/>
    </row>
    <row r="136" spans="16:25">
      <c r="P136" s="133"/>
      <c r="Q136" s="133"/>
      <c r="R136" s="133"/>
      <c r="S136" s="133"/>
      <c r="T136" s="133"/>
      <c r="U136" s="133"/>
      <c r="V136" s="133"/>
      <c r="W136" s="133"/>
      <c r="X136" s="133"/>
      <c r="Y136" s="133"/>
    </row>
    <row r="137" spans="16:25">
      <c r="P137" s="133"/>
      <c r="Q137" s="133"/>
      <c r="R137" s="133"/>
      <c r="S137" s="133"/>
      <c r="T137" s="133"/>
      <c r="U137" s="133"/>
      <c r="V137" s="133"/>
      <c r="W137" s="133"/>
      <c r="X137" s="133"/>
      <c r="Y137" s="133"/>
    </row>
    <row r="138" spans="16:25">
      <c r="P138" s="133"/>
      <c r="Q138" s="133"/>
      <c r="R138" s="133"/>
      <c r="S138" s="133"/>
      <c r="T138" s="133"/>
      <c r="U138" s="133"/>
      <c r="V138" s="133"/>
      <c r="W138" s="133"/>
      <c r="X138" s="133"/>
      <c r="Y138" s="133"/>
    </row>
    <row r="139" spans="16:25">
      <c r="P139" s="133"/>
      <c r="Q139" s="133"/>
      <c r="R139" s="133"/>
      <c r="S139" s="133"/>
      <c r="T139" s="133"/>
      <c r="U139" s="133"/>
      <c r="V139" s="133"/>
      <c r="W139" s="133"/>
      <c r="X139" s="133"/>
      <c r="Y139" s="133"/>
    </row>
    <row r="140" spans="16:25">
      <c r="P140" s="133"/>
      <c r="Q140" s="133"/>
      <c r="R140" s="133"/>
      <c r="S140" s="133"/>
      <c r="T140" s="133"/>
      <c r="U140" s="133"/>
      <c r="V140" s="133"/>
      <c r="W140" s="133"/>
      <c r="X140" s="133"/>
      <c r="Y140" s="133"/>
    </row>
    <row r="141" spans="16:25">
      <c r="P141" s="133"/>
      <c r="Q141" s="133"/>
      <c r="R141" s="133"/>
      <c r="S141" s="133"/>
      <c r="T141" s="133"/>
      <c r="U141" s="133"/>
      <c r="V141" s="133"/>
      <c r="W141" s="133"/>
      <c r="X141" s="133"/>
      <c r="Y141" s="133"/>
    </row>
    <row r="142" spans="16:25">
      <c r="P142" s="133"/>
      <c r="Q142" s="133"/>
      <c r="R142" s="133"/>
      <c r="S142" s="133"/>
      <c r="T142" s="133"/>
      <c r="U142" s="133"/>
      <c r="V142" s="133"/>
      <c r="W142" s="133"/>
      <c r="X142" s="133"/>
      <c r="Y142" s="133"/>
    </row>
    <row r="143" spans="16:25">
      <c r="P143" s="133"/>
      <c r="Q143" s="133"/>
      <c r="R143" s="133"/>
      <c r="S143" s="133"/>
      <c r="T143" s="133"/>
      <c r="U143" s="133"/>
      <c r="V143" s="133"/>
      <c r="W143" s="133"/>
      <c r="X143" s="133"/>
      <c r="Y143" s="133"/>
    </row>
    <row r="144" spans="16:25">
      <c r="P144" s="133"/>
      <c r="Q144" s="133"/>
      <c r="R144" s="133"/>
      <c r="S144" s="133"/>
      <c r="T144" s="133"/>
      <c r="U144" s="133"/>
      <c r="V144" s="133"/>
      <c r="W144" s="133"/>
      <c r="X144" s="133"/>
      <c r="Y144" s="133"/>
    </row>
    <row r="145" spans="16:25">
      <c r="P145" s="133"/>
      <c r="Q145" s="133"/>
      <c r="R145" s="133"/>
      <c r="S145" s="133"/>
      <c r="T145" s="133"/>
      <c r="U145" s="133"/>
      <c r="V145" s="133"/>
      <c r="W145" s="133"/>
      <c r="X145" s="133"/>
      <c r="Y145" s="133"/>
    </row>
    <row r="146" spans="16:25">
      <c r="P146" s="133"/>
      <c r="Q146" s="133"/>
      <c r="R146" s="133"/>
      <c r="S146" s="133"/>
      <c r="T146" s="133"/>
      <c r="U146" s="133"/>
      <c r="V146" s="133"/>
      <c r="W146" s="133"/>
      <c r="X146" s="133"/>
      <c r="Y146" s="133"/>
    </row>
    <row r="147" spans="16:25">
      <c r="P147" s="133"/>
      <c r="Q147" s="133"/>
      <c r="R147" s="133"/>
      <c r="S147" s="133"/>
      <c r="T147" s="133"/>
      <c r="U147" s="133"/>
      <c r="V147" s="133"/>
      <c r="W147" s="133"/>
      <c r="X147" s="133"/>
      <c r="Y147" s="133"/>
    </row>
    <row r="148" spans="16:25">
      <c r="P148" s="133"/>
      <c r="Q148" s="133"/>
      <c r="R148" s="133"/>
      <c r="S148" s="133"/>
      <c r="T148" s="133"/>
      <c r="U148" s="133"/>
      <c r="V148" s="133"/>
      <c r="W148" s="133"/>
      <c r="X148" s="133"/>
      <c r="Y148" s="133"/>
    </row>
    <row r="149" spans="16:25">
      <c r="P149" s="133"/>
      <c r="Q149" s="133"/>
      <c r="R149" s="133"/>
      <c r="S149" s="133"/>
      <c r="T149" s="133"/>
      <c r="U149" s="133"/>
      <c r="V149" s="133"/>
      <c r="W149" s="133"/>
      <c r="X149" s="133"/>
      <c r="Y149" s="133"/>
    </row>
    <row r="150" spans="16:25">
      <c r="P150" s="133"/>
      <c r="Q150" s="133"/>
      <c r="R150" s="133"/>
      <c r="S150" s="133"/>
      <c r="T150" s="133"/>
      <c r="U150" s="133"/>
      <c r="V150" s="133"/>
      <c r="W150" s="133"/>
      <c r="X150" s="133"/>
      <c r="Y150" s="133"/>
    </row>
    <row r="151" spans="16:25">
      <c r="P151" s="133"/>
      <c r="Q151" s="133"/>
      <c r="R151" s="133"/>
      <c r="S151" s="133"/>
      <c r="T151" s="133"/>
      <c r="U151" s="133"/>
      <c r="V151" s="133"/>
      <c r="W151" s="133"/>
      <c r="X151" s="133"/>
      <c r="Y151" s="133"/>
    </row>
    <row r="152" spans="16:25">
      <c r="P152" s="133"/>
      <c r="Q152" s="133"/>
      <c r="R152" s="133"/>
      <c r="S152" s="133"/>
      <c r="T152" s="133"/>
      <c r="U152" s="133"/>
      <c r="V152" s="133"/>
      <c r="W152" s="133"/>
      <c r="X152" s="133"/>
      <c r="Y152" s="133"/>
    </row>
    <row r="153" spans="16:25">
      <c r="P153" s="133"/>
      <c r="Q153" s="133"/>
      <c r="R153" s="133"/>
      <c r="S153" s="133"/>
      <c r="T153" s="133"/>
      <c r="U153" s="133"/>
      <c r="V153" s="133"/>
      <c r="W153" s="133"/>
      <c r="X153" s="133"/>
      <c r="Y153" s="133"/>
    </row>
    <row r="154" spans="16:25">
      <c r="P154" s="133"/>
      <c r="Q154" s="133"/>
      <c r="R154" s="133"/>
      <c r="S154" s="133"/>
      <c r="T154" s="133"/>
      <c r="U154" s="133"/>
      <c r="V154" s="133"/>
      <c r="W154" s="133"/>
      <c r="X154" s="133"/>
      <c r="Y154" s="133"/>
    </row>
    <row r="155" spans="16:25">
      <c r="P155" s="133"/>
      <c r="Q155" s="133"/>
      <c r="R155" s="133"/>
      <c r="S155" s="133"/>
      <c r="T155" s="133"/>
      <c r="U155" s="133"/>
      <c r="V155" s="133"/>
      <c r="W155" s="133"/>
      <c r="X155" s="133"/>
      <c r="Y155" s="133"/>
    </row>
  </sheetData>
  <mergeCells count="22">
    <mergeCell ref="B20:J20"/>
    <mergeCell ref="K8:K11"/>
    <mergeCell ref="L8:L11"/>
    <mergeCell ref="M8:M11"/>
    <mergeCell ref="N8:N11"/>
    <mergeCell ref="I8:I11"/>
    <mergeCell ref="O8:O1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10"/>
  <sheetViews>
    <sheetView topLeftCell="A43" zoomScale="102" zoomScaleNormal="102" workbookViewId="0">
      <selection activeCell="E98" sqref="E98"/>
    </sheetView>
  </sheetViews>
  <sheetFormatPr defaultColWidth="9.140625" defaultRowHeight="12.75"/>
  <cols>
    <col min="1" max="1" width="6.5703125" style="117" customWidth="1"/>
    <col min="2" max="2" width="35.5703125" style="117" customWidth="1"/>
    <col min="3" max="3" width="6.7109375" style="117" customWidth="1"/>
    <col min="4" max="4" width="7.42578125" style="117" customWidth="1"/>
    <col min="5" max="9" width="8.28515625" style="117" customWidth="1"/>
    <col min="10" max="10" width="8.7109375" style="117" customWidth="1"/>
    <col min="11" max="11" width="9.28515625" style="117" customWidth="1"/>
    <col min="12" max="14" width="9.7109375" style="117" customWidth="1"/>
    <col min="15" max="15" width="11.28515625" style="117" customWidth="1"/>
    <col min="16" max="16" width="11.7109375" style="117" bestFit="1" customWidth="1"/>
    <col min="17" max="16384" width="9.140625" style="117"/>
  </cols>
  <sheetData>
    <row r="1" spans="1:16" s="102" customFormat="1" ht="14.25">
      <c r="A1" s="396" t="s">
        <v>184</v>
      </c>
      <c r="B1" s="396"/>
      <c r="C1" s="396"/>
      <c r="D1" s="396"/>
      <c r="E1" s="396"/>
      <c r="F1" s="396"/>
      <c r="G1" s="396"/>
      <c r="H1" s="396"/>
      <c r="I1" s="396"/>
      <c r="J1" s="396"/>
      <c r="K1" s="396"/>
      <c r="L1" s="396"/>
      <c r="M1" s="396"/>
      <c r="N1" s="396"/>
      <c r="O1" s="396"/>
    </row>
    <row r="2" spans="1:16" s="102" customFormat="1" ht="14.25">
      <c r="A2" s="397" t="str">
        <f>Kopsavilkums!C15</f>
        <v>0-cikls</v>
      </c>
      <c r="B2" s="397"/>
      <c r="C2" s="397"/>
      <c r="D2" s="397"/>
      <c r="E2" s="397"/>
      <c r="F2" s="397"/>
      <c r="G2" s="397"/>
      <c r="H2" s="397"/>
      <c r="I2" s="397"/>
      <c r="J2" s="397"/>
      <c r="K2" s="397"/>
      <c r="L2" s="397"/>
      <c r="M2" s="397"/>
      <c r="N2" s="397"/>
      <c r="O2" s="397"/>
    </row>
    <row r="3" spans="1:16" s="102" customFormat="1" ht="14.25">
      <c r="A3" s="115" t="s">
        <v>1246</v>
      </c>
      <c r="B3" s="177"/>
      <c r="C3" s="177"/>
      <c r="D3" s="177"/>
      <c r="E3" s="177"/>
      <c r="F3" s="177"/>
      <c r="G3" s="177"/>
      <c r="H3" s="177"/>
      <c r="I3" s="177"/>
      <c r="J3" s="177"/>
      <c r="K3" s="177"/>
      <c r="L3" s="177"/>
      <c r="M3" s="177"/>
      <c r="N3" s="177"/>
      <c r="O3" s="177"/>
    </row>
    <row r="4" spans="1:16" s="102" customFormat="1" ht="14.25">
      <c r="A4" s="115" t="s">
        <v>307</v>
      </c>
      <c r="B4" s="177"/>
      <c r="C4" s="177"/>
      <c r="D4" s="177"/>
      <c r="E4" s="177"/>
      <c r="F4" s="177"/>
      <c r="G4" s="177"/>
      <c r="H4" s="177"/>
      <c r="I4" s="177"/>
      <c r="J4" s="177"/>
      <c r="K4" s="177"/>
      <c r="L4" s="177"/>
      <c r="M4" s="177"/>
      <c r="N4" s="177"/>
      <c r="O4" s="177"/>
    </row>
    <row r="5" spans="1:16" s="102" customFormat="1" ht="14.25">
      <c r="A5" s="115" t="s">
        <v>306</v>
      </c>
      <c r="B5" s="177"/>
      <c r="C5" s="177"/>
      <c r="D5" s="177"/>
      <c r="E5" s="177"/>
      <c r="F5" s="177"/>
      <c r="G5" s="177"/>
      <c r="H5" s="177"/>
      <c r="I5" s="177"/>
      <c r="J5" s="177"/>
      <c r="K5" s="177"/>
      <c r="L5" s="177"/>
      <c r="M5" s="177"/>
      <c r="N5" s="177"/>
      <c r="O5" s="177"/>
    </row>
    <row r="6" spans="1:16" ht="13.5" thickBot="1">
      <c r="E6" s="133"/>
      <c r="F6" s="133"/>
      <c r="G6" s="133"/>
      <c r="H6" s="133"/>
      <c r="I6" s="133"/>
      <c r="J6" s="398" t="s">
        <v>13</v>
      </c>
      <c r="K6" s="398"/>
      <c r="L6" s="398"/>
      <c r="M6" s="398"/>
      <c r="N6" s="399" t="e">
        <f>#REF!</f>
        <v>#REF!</v>
      </c>
      <c r="O6" s="399"/>
    </row>
    <row r="7" spans="1:16" s="133" customFormat="1" ht="12.75" customHeight="1">
      <c r="A7" s="378" t="s">
        <v>27</v>
      </c>
      <c r="B7" s="381" t="s">
        <v>28</v>
      </c>
      <c r="C7" s="381" t="s">
        <v>17</v>
      </c>
      <c r="D7" s="381" t="s">
        <v>19</v>
      </c>
      <c r="E7" s="390" t="s">
        <v>15</v>
      </c>
      <c r="F7" s="391"/>
      <c r="G7" s="391"/>
      <c r="H7" s="391"/>
      <c r="I7" s="391"/>
      <c r="J7" s="392"/>
      <c r="K7" s="390" t="s">
        <v>16</v>
      </c>
      <c r="L7" s="391"/>
      <c r="M7" s="391"/>
      <c r="N7" s="391"/>
      <c r="O7" s="393"/>
    </row>
    <row r="8" spans="1:16"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6" s="133" customFormat="1">
      <c r="A9" s="379"/>
      <c r="B9" s="382"/>
      <c r="C9" s="382"/>
      <c r="D9" s="382"/>
      <c r="E9" s="394"/>
      <c r="F9" s="376"/>
      <c r="G9" s="376"/>
      <c r="H9" s="376"/>
      <c r="I9" s="376"/>
      <c r="J9" s="373"/>
      <c r="K9" s="376"/>
      <c r="L9" s="376"/>
      <c r="M9" s="376"/>
      <c r="N9" s="376"/>
      <c r="O9" s="385"/>
    </row>
    <row r="10" spans="1:16" s="133" customFormat="1">
      <c r="A10" s="379"/>
      <c r="B10" s="382"/>
      <c r="C10" s="382"/>
      <c r="D10" s="382"/>
      <c r="E10" s="394"/>
      <c r="F10" s="376"/>
      <c r="G10" s="376"/>
      <c r="H10" s="376"/>
      <c r="I10" s="376"/>
      <c r="J10" s="373"/>
      <c r="K10" s="376"/>
      <c r="L10" s="376"/>
      <c r="M10" s="376"/>
      <c r="N10" s="376"/>
      <c r="O10" s="385"/>
    </row>
    <row r="11" spans="1:16" s="133" customFormat="1" ht="13.5" thickBot="1">
      <c r="A11" s="380"/>
      <c r="B11" s="383"/>
      <c r="C11" s="383"/>
      <c r="D11" s="383"/>
      <c r="E11" s="395"/>
      <c r="F11" s="377"/>
      <c r="G11" s="377"/>
      <c r="H11" s="377"/>
      <c r="I11" s="377"/>
      <c r="J11" s="374"/>
      <c r="K11" s="377"/>
      <c r="L11" s="377"/>
      <c r="M11" s="377"/>
      <c r="N11" s="377"/>
      <c r="O11" s="386"/>
    </row>
    <row r="12" spans="1:16" s="133" customFormat="1" ht="14.25" thickTop="1" thickBot="1">
      <c r="A12" s="52">
        <v>1</v>
      </c>
      <c r="B12" s="53">
        <v>2</v>
      </c>
      <c r="C12" s="53">
        <v>3</v>
      </c>
      <c r="D12" s="53">
        <v>4</v>
      </c>
      <c r="E12" s="53">
        <v>5</v>
      </c>
      <c r="F12" s="53">
        <v>6</v>
      </c>
      <c r="G12" s="53">
        <v>7</v>
      </c>
      <c r="H12" s="53">
        <v>8</v>
      </c>
      <c r="I12" s="53">
        <v>9</v>
      </c>
      <c r="J12" s="54">
        <v>10</v>
      </c>
      <c r="K12" s="53">
        <v>11</v>
      </c>
      <c r="L12" s="54">
        <v>12</v>
      </c>
      <c r="M12" s="53">
        <v>13</v>
      </c>
      <c r="N12" s="54">
        <v>14</v>
      </c>
      <c r="O12" s="55">
        <v>15</v>
      </c>
    </row>
    <row r="13" spans="1:16" s="25" customFormat="1" ht="15" thickTop="1">
      <c r="A13" s="106"/>
      <c r="B13" s="180" t="s">
        <v>364</v>
      </c>
      <c r="C13" s="13"/>
      <c r="D13" s="9"/>
      <c r="E13" s="33"/>
      <c r="F13" s="33"/>
      <c r="G13" s="4"/>
      <c r="H13" s="4"/>
      <c r="I13" s="4"/>
      <c r="J13" s="4"/>
      <c r="K13" s="4"/>
      <c r="L13" s="4"/>
      <c r="M13" s="4"/>
      <c r="N13" s="4"/>
      <c r="O13" s="20"/>
      <c r="P13" s="117"/>
    </row>
    <row r="14" spans="1:16" s="25" customFormat="1" ht="14.25">
      <c r="A14" s="106"/>
      <c r="B14" s="180" t="s">
        <v>312</v>
      </c>
      <c r="C14" s="13"/>
      <c r="D14" s="9"/>
      <c r="E14" s="33"/>
      <c r="F14" s="33"/>
      <c r="G14" s="4"/>
      <c r="H14" s="4"/>
      <c r="I14" s="4"/>
      <c r="J14" s="4"/>
      <c r="K14" s="4"/>
      <c r="L14" s="4"/>
      <c r="M14" s="4"/>
      <c r="N14" s="4"/>
      <c r="O14" s="20"/>
      <c r="P14" s="117"/>
    </row>
    <row r="15" spans="1:16">
      <c r="A15" s="106">
        <f t="shared" ref="A15" si="0">A14+1</f>
        <v>1</v>
      </c>
      <c r="B15" s="158" t="s">
        <v>342</v>
      </c>
      <c r="C15" s="116" t="s">
        <v>26</v>
      </c>
      <c r="D15" s="242">
        <v>21.7</v>
      </c>
      <c r="E15" s="33"/>
      <c r="F15" s="4"/>
      <c r="G15" s="4"/>
      <c r="H15" s="33"/>
      <c r="I15" s="4"/>
      <c r="J15" s="337"/>
      <c r="K15" s="338"/>
      <c r="L15" s="338"/>
      <c r="M15" s="338"/>
      <c r="N15" s="338"/>
      <c r="O15" s="339"/>
    </row>
    <row r="16" spans="1:16" s="25" customFormat="1" ht="14.25">
      <c r="A16" s="19" t="s">
        <v>72</v>
      </c>
      <c r="B16" s="118" t="s">
        <v>340</v>
      </c>
      <c r="C16" s="226" t="s">
        <v>26</v>
      </c>
      <c r="D16" s="9">
        <f>ROUND(D15*1.08,2)</f>
        <v>23.44</v>
      </c>
      <c r="E16" s="33"/>
      <c r="F16" s="33"/>
      <c r="G16" s="33"/>
      <c r="H16" s="100"/>
      <c r="I16" s="33"/>
      <c r="J16" s="337"/>
      <c r="K16" s="338"/>
      <c r="L16" s="338"/>
      <c r="M16" s="338"/>
      <c r="N16" s="338"/>
      <c r="O16" s="339"/>
      <c r="P16" s="205"/>
    </row>
    <row r="17" spans="1:59" s="25" customFormat="1" ht="14.25">
      <c r="A17" s="19" t="s">
        <v>73</v>
      </c>
      <c r="B17" s="24" t="s">
        <v>347</v>
      </c>
      <c r="C17" s="13" t="s">
        <v>30</v>
      </c>
      <c r="D17" s="10">
        <v>1</v>
      </c>
      <c r="E17" s="36"/>
      <c r="F17" s="4"/>
      <c r="G17" s="4"/>
      <c r="H17" s="129"/>
      <c r="I17" s="4"/>
      <c r="J17" s="337"/>
      <c r="K17" s="338"/>
      <c r="L17" s="338"/>
      <c r="M17" s="338"/>
      <c r="N17" s="338"/>
      <c r="O17" s="339"/>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row>
    <row r="18" spans="1:59" s="25" customFormat="1" ht="14.25">
      <c r="A18" s="19" t="s">
        <v>1370</v>
      </c>
      <c r="B18" s="24" t="s">
        <v>319</v>
      </c>
      <c r="C18" s="13" t="s">
        <v>30</v>
      </c>
      <c r="D18" s="10">
        <v>1</v>
      </c>
      <c r="E18" s="36"/>
      <c r="F18" s="4"/>
      <c r="G18" s="4"/>
      <c r="H18" s="4"/>
      <c r="I18" s="4"/>
      <c r="J18" s="337"/>
      <c r="K18" s="338"/>
      <c r="L18" s="338"/>
      <c r="M18" s="338"/>
      <c r="N18" s="338"/>
      <c r="O18" s="339"/>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row>
    <row r="19" spans="1:59" s="25" customFormat="1" ht="14.25">
      <c r="A19" s="19" t="s">
        <v>1371</v>
      </c>
      <c r="B19" s="118" t="s">
        <v>1135</v>
      </c>
      <c r="C19" s="116" t="s">
        <v>26</v>
      </c>
      <c r="D19" s="242">
        <f>D15</f>
        <v>21.7</v>
      </c>
      <c r="E19" s="33"/>
      <c r="F19" s="4"/>
      <c r="G19" s="4"/>
      <c r="H19" s="4"/>
      <c r="I19" s="4"/>
      <c r="J19" s="337"/>
      <c r="K19" s="338"/>
      <c r="L19" s="338"/>
      <c r="M19" s="338"/>
      <c r="N19" s="338"/>
      <c r="O19" s="339"/>
      <c r="P19" s="205"/>
    </row>
    <row r="20" spans="1:59" s="25" customFormat="1" ht="14.25">
      <c r="A20" s="106">
        <v>2</v>
      </c>
      <c r="B20" s="2" t="s">
        <v>344</v>
      </c>
      <c r="C20" s="226" t="s">
        <v>26</v>
      </c>
      <c r="D20" s="9">
        <v>98.8</v>
      </c>
      <c r="E20" s="9"/>
      <c r="F20" s="4"/>
      <c r="G20" s="4"/>
      <c r="H20" s="34"/>
      <c r="I20" s="4"/>
      <c r="J20" s="337"/>
      <c r="K20" s="338"/>
      <c r="L20" s="338"/>
      <c r="M20" s="338"/>
      <c r="N20" s="338"/>
      <c r="O20" s="339"/>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row>
    <row r="21" spans="1:59" s="25" customFormat="1" ht="14.25">
      <c r="A21" s="19" t="s">
        <v>1372</v>
      </c>
      <c r="B21" s="118" t="s">
        <v>210</v>
      </c>
      <c r="C21" s="226" t="s">
        <v>26</v>
      </c>
      <c r="D21" s="9">
        <f>ROUND(D20*1.02,2)</f>
        <v>100.78</v>
      </c>
      <c r="E21" s="4"/>
      <c r="F21" s="33"/>
      <c r="G21" s="33"/>
      <c r="H21" s="4"/>
      <c r="I21" s="33"/>
      <c r="J21" s="337"/>
      <c r="K21" s="338"/>
      <c r="L21" s="338"/>
      <c r="M21" s="338"/>
      <c r="N21" s="338"/>
      <c r="O21" s="339"/>
      <c r="P21" s="205"/>
    </row>
    <row r="22" spans="1:59" s="25" customFormat="1" ht="14.25">
      <c r="A22" s="19" t="s">
        <v>1373</v>
      </c>
      <c r="B22" s="21" t="s">
        <v>318</v>
      </c>
      <c r="C22" s="13" t="s">
        <v>30</v>
      </c>
      <c r="D22" s="10">
        <v>1</v>
      </c>
      <c r="E22" s="9"/>
      <c r="F22" s="33"/>
      <c r="G22" s="4"/>
      <c r="H22" s="129"/>
      <c r="I22" s="4"/>
      <c r="J22" s="337"/>
      <c r="K22" s="338"/>
      <c r="L22" s="338"/>
      <c r="M22" s="338"/>
      <c r="N22" s="338"/>
      <c r="O22" s="339"/>
    </row>
    <row r="23" spans="1:59" s="25" customFormat="1" ht="14.25">
      <c r="A23" s="19" t="s">
        <v>1374</v>
      </c>
      <c r="B23" s="21" t="s">
        <v>319</v>
      </c>
      <c r="C23" s="13" t="s">
        <v>30</v>
      </c>
      <c r="D23" s="10">
        <v>1</v>
      </c>
      <c r="E23" s="9"/>
      <c r="F23" s="33"/>
      <c r="G23" s="4"/>
      <c r="H23" s="4"/>
      <c r="I23" s="4"/>
      <c r="J23" s="337"/>
      <c r="K23" s="338"/>
      <c r="L23" s="338"/>
      <c r="M23" s="338"/>
      <c r="N23" s="338"/>
      <c r="O23" s="339"/>
    </row>
    <row r="24" spans="1:59" s="25" customFormat="1" ht="14.25">
      <c r="A24" s="19" t="s">
        <v>1375</v>
      </c>
      <c r="B24" s="118" t="s">
        <v>320</v>
      </c>
      <c r="C24" s="226" t="s">
        <v>321</v>
      </c>
      <c r="D24" s="140">
        <f>ROUND(D20/10,2)</f>
        <v>9.8800000000000008</v>
      </c>
      <c r="E24" s="4"/>
      <c r="F24" s="33"/>
      <c r="G24" s="33"/>
      <c r="H24" s="4"/>
      <c r="I24" s="33"/>
      <c r="J24" s="337"/>
      <c r="K24" s="338"/>
      <c r="L24" s="338"/>
      <c r="M24" s="338"/>
      <c r="N24" s="338"/>
      <c r="O24" s="339"/>
      <c r="P24" s="205"/>
    </row>
    <row r="25" spans="1:59">
      <c r="A25" s="106">
        <v>3</v>
      </c>
      <c r="B25" s="158" t="s">
        <v>175</v>
      </c>
      <c r="C25" s="13" t="s">
        <v>39</v>
      </c>
      <c r="D25" s="289">
        <v>4.0869999999999997</v>
      </c>
      <c r="E25" s="33"/>
      <c r="F25" s="4"/>
      <c r="G25" s="4"/>
      <c r="H25" s="33"/>
      <c r="I25" s="4"/>
      <c r="J25" s="337"/>
      <c r="K25" s="338"/>
      <c r="L25" s="338"/>
      <c r="M25" s="338"/>
      <c r="N25" s="338"/>
      <c r="O25" s="339"/>
    </row>
    <row r="26" spans="1:59" s="25" customFormat="1" ht="14.25">
      <c r="A26" s="19" t="s">
        <v>1376</v>
      </c>
      <c r="B26" s="21" t="s">
        <v>322</v>
      </c>
      <c r="C26" s="13" t="s">
        <v>39</v>
      </c>
      <c r="D26" s="161">
        <f>ROUND(D25*1.1,4)</f>
        <v>4.4957000000000003</v>
      </c>
      <c r="E26" s="11"/>
      <c r="F26" s="33"/>
      <c r="G26" s="4"/>
      <c r="H26" s="11"/>
      <c r="I26" s="4"/>
      <c r="J26" s="337"/>
      <c r="K26" s="338"/>
      <c r="L26" s="338"/>
      <c r="M26" s="338"/>
      <c r="N26" s="338"/>
      <c r="O26" s="339"/>
    </row>
    <row r="27" spans="1:59" s="25" customFormat="1" ht="12" customHeight="1">
      <c r="A27" s="19" t="s">
        <v>1377</v>
      </c>
      <c r="B27" s="21" t="s">
        <v>178</v>
      </c>
      <c r="C27" s="13" t="s">
        <v>39</v>
      </c>
      <c r="D27" s="161">
        <f>ROUND(SUM(D26)*0.035,4)</f>
        <v>0.1573</v>
      </c>
      <c r="E27" s="9"/>
      <c r="F27" s="33"/>
      <c r="G27" s="4"/>
      <c r="H27" s="4"/>
      <c r="I27" s="4"/>
      <c r="J27" s="337"/>
      <c r="K27" s="338"/>
      <c r="L27" s="338"/>
      <c r="M27" s="338"/>
      <c r="N27" s="338"/>
      <c r="O27" s="339"/>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row>
    <row r="28" spans="1:59" s="25" customFormat="1" ht="14.25">
      <c r="A28" s="19" t="s">
        <v>1378</v>
      </c>
      <c r="B28" s="24" t="s">
        <v>323</v>
      </c>
      <c r="C28" s="13" t="s">
        <v>29</v>
      </c>
      <c r="D28" s="10">
        <f>ROUND(D20/0.2*9,0)</f>
        <v>4446</v>
      </c>
      <c r="E28" s="36"/>
      <c r="F28" s="4"/>
      <c r="G28" s="4"/>
      <c r="H28" s="4"/>
      <c r="I28" s="4"/>
      <c r="J28" s="337"/>
      <c r="K28" s="338"/>
      <c r="L28" s="338"/>
      <c r="M28" s="338"/>
      <c r="N28" s="338"/>
      <c r="O28" s="339"/>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row>
    <row r="29" spans="1:59" s="25" customFormat="1" ht="14.25">
      <c r="A29" s="106">
        <v>4</v>
      </c>
      <c r="B29" s="2" t="s">
        <v>346</v>
      </c>
      <c r="C29" s="13" t="s">
        <v>39</v>
      </c>
      <c r="D29" s="161">
        <v>0.58520000000000005</v>
      </c>
      <c r="E29" s="153"/>
      <c r="F29" s="4"/>
      <c r="G29" s="4"/>
      <c r="H29" s="4"/>
      <c r="I29" s="4"/>
      <c r="J29" s="337"/>
      <c r="K29" s="338"/>
      <c r="L29" s="338"/>
      <c r="M29" s="338"/>
      <c r="N29" s="338"/>
      <c r="O29" s="339"/>
    </row>
    <row r="30" spans="1:59" s="25" customFormat="1" ht="14.25">
      <c r="A30" s="106"/>
      <c r="B30" s="180" t="s">
        <v>920</v>
      </c>
      <c r="C30" s="13"/>
      <c r="D30" s="9"/>
      <c r="E30" s="33"/>
      <c r="F30" s="33"/>
      <c r="G30" s="4"/>
      <c r="H30" s="4"/>
      <c r="I30" s="4"/>
      <c r="J30" s="4"/>
      <c r="K30" s="4"/>
      <c r="L30" s="4"/>
      <c r="M30" s="4"/>
      <c r="N30" s="4"/>
      <c r="O30" s="20"/>
      <c r="P30" s="117"/>
    </row>
    <row r="31" spans="1:59">
      <c r="A31" s="106">
        <v>5</v>
      </c>
      <c r="B31" s="158" t="s">
        <v>342</v>
      </c>
      <c r="C31" s="116" t="s">
        <v>26</v>
      </c>
      <c r="D31" s="242">
        <v>4.0999999999999996</v>
      </c>
      <c r="E31" s="33"/>
      <c r="F31" s="4"/>
      <c r="G31" s="4"/>
      <c r="H31" s="33"/>
      <c r="I31" s="4"/>
      <c r="J31" s="337"/>
      <c r="K31" s="338"/>
      <c r="L31" s="338"/>
      <c r="M31" s="338"/>
      <c r="N31" s="338"/>
      <c r="O31" s="339"/>
    </row>
    <row r="32" spans="1:59" s="25" customFormat="1" ht="14.25">
      <c r="A32" s="19" t="s">
        <v>1369</v>
      </c>
      <c r="B32" s="118" t="s">
        <v>340</v>
      </c>
      <c r="C32" s="226" t="s">
        <v>26</v>
      </c>
      <c r="D32" s="9">
        <f>ROUND(D31*1.08,2)</f>
        <v>4.43</v>
      </c>
      <c r="E32" s="33"/>
      <c r="F32" s="33"/>
      <c r="G32" s="33"/>
      <c r="H32" s="100"/>
      <c r="I32" s="33"/>
      <c r="J32" s="337"/>
      <c r="K32" s="338"/>
      <c r="L32" s="338"/>
      <c r="M32" s="338"/>
      <c r="N32" s="338"/>
      <c r="O32" s="339"/>
      <c r="P32" s="205"/>
    </row>
    <row r="33" spans="1:59" s="25" customFormat="1" ht="14.25">
      <c r="A33" s="19" t="s">
        <v>1379</v>
      </c>
      <c r="B33" s="24" t="s">
        <v>347</v>
      </c>
      <c r="C33" s="13" t="s">
        <v>30</v>
      </c>
      <c r="D33" s="10">
        <v>1</v>
      </c>
      <c r="E33" s="36"/>
      <c r="F33" s="4"/>
      <c r="G33" s="4"/>
      <c r="H33" s="129"/>
      <c r="I33" s="4"/>
      <c r="J33" s="337"/>
      <c r="K33" s="338"/>
      <c r="L33" s="338"/>
      <c r="M33" s="338"/>
      <c r="N33" s="338"/>
      <c r="O33" s="339"/>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row>
    <row r="34" spans="1:59" s="25" customFormat="1" ht="14.25">
      <c r="A34" s="19" t="s">
        <v>1380</v>
      </c>
      <c r="B34" s="24" t="s">
        <v>319</v>
      </c>
      <c r="C34" s="13" t="s">
        <v>30</v>
      </c>
      <c r="D34" s="10">
        <v>1</v>
      </c>
      <c r="E34" s="36"/>
      <c r="F34" s="4"/>
      <c r="G34" s="4"/>
      <c r="H34" s="4"/>
      <c r="I34" s="4"/>
      <c r="J34" s="337"/>
      <c r="K34" s="338"/>
      <c r="L34" s="338"/>
      <c r="M34" s="338"/>
      <c r="N34" s="338"/>
      <c r="O34" s="339"/>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row>
    <row r="35" spans="1:59" s="25" customFormat="1" ht="14.25">
      <c r="A35" s="19" t="s">
        <v>1381</v>
      </c>
      <c r="B35" s="118" t="s">
        <v>1135</v>
      </c>
      <c r="C35" s="116" t="s">
        <v>26</v>
      </c>
      <c r="D35" s="242">
        <f>D31</f>
        <v>4.0999999999999996</v>
      </c>
      <c r="E35" s="33"/>
      <c r="F35" s="4"/>
      <c r="G35" s="4"/>
      <c r="H35" s="4"/>
      <c r="I35" s="4"/>
      <c r="J35" s="337"/>
      <c r="K35" s="338"/>
      <c r="L35" s="338"/>
      <c r="M35" s="338"/>
      <c r="N35" s="338"/>
      <c r="O35" s="339"/>
      <c r="P35" s="205"/>
    </row>
    <row r="36" spans="1:59" s="25" customFormat="1" ht="14.25">
      <c r="A36" s="106">
        <v>6</v>
      </c>
      <c r="B36" s="2" t="s">
        <v>344</v>
      </c>
      <c r="C36" s="226" t="s">
        <v>26</v>
      </c>
      <c r="D36" s="9">
        <v>18.7</v>
      </c>
      <c r="E36" s="9"/>
      <c r="F36" s="4"/>
      <c r="G36" s="4"/>
      <c r="H36" s="34"/>
      <c r="I36" s="4"/>
      <c r="J36" s="337"/>
      <c r="K36" s="338"/>
      <c r="L36" s="338"/>
      <c r="M36" s="338"/>
      <c r="N36" s="338"/>
      <c r="O36" s="339"/>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row>
    <row r="37" spans="1:59" s="25" customFormat="1" ht="14.25">
      <c r="A37" s="19" t="s">
        <v>1382</v>
      </c>
      <c r="B37" s="118" t="s">
        <v>210</v>
      </c>
      <c r="C37" s="226" t="s">
        <v>26</v>
      </c>
      <c r="D37" s="9">
        <f>ROUND(D36*1.02,2)</f>
        <v>19.07</v>
      </c>
      <c r="E37" s="4"/>
      <c r="F37" s="33"/>
      <c r="G37" s="33"/>
      <c r="H37" s="4"/>
      <c r="I37" s="33"/>
      <c r="J37" s="337"/>
      <c r="K37" s="338"/>
      <c r="L37" s="338"/>
      <c r="M37" s="338"/>
      <c r="N37" s="338"/>
      <c r="O37" s="339"/>
      <c r="P37" s="205"/>
    </row>
    <row r="38" spans="1:59" s="25" customFormat="1" ht="14.25">
      <c r="A38" s="19" t="s">
        <v>1383</v>
      </c>
      <c r="B38" s="21" t="s">
        <v>318</v>
      </c>
      <c r="C38" s="13" t="s">
        <v>30</v>
      </c>
      <c r="D38" s="10">
        <v>1</v>
      </c>
      <c r="E38" s="9"/>
      <c r="F38" s="33"/>
      <c r="G38" s="4"/>
      <c r="H38" s="129"/>
      <c r="I38" s="4"/>
      <c r="J38" s="337"/>
      <c r="K38" s="338"/>
      <c r="L38" s="338"/>
      <c r="M38" s="338"/>
      <c r="N38" s="338"/>
      <c r="O38" s="339"/>
    </row>
    <row r="39" spans="1:59" s="25" customFormat="1" ht="14.25">
      <c r="A39" s="19" t="s">
        <v>1384</v>
      </c>
      <c r="B39" s="21" t="s">
        <v>319</v>
      </c>
      <c r="C39" s="13" t="s">
        <v>30</v>
      </c>
      <c r="D39" s="10">
        <v>1</v>
      </c>
      <c r="E39" s="9"/>
      <c r="F39" s="33"/>
      <c r="G39" s="4"/>
      <c r="H39" s="4"/>
      <c r="I39" s="4"/>
      <c r="J39" s="337"/>
      <c r="K39" s="338"/>
      <c r="L39" s="338"/>
      <c r="M39" s="338"/>
      <c r="N39" s="338"/>
      <c r="O39" s="339"/>
    </row>
    <row r="40" spans="1:59" s="25" customFormat="1" ht="14.25">
      <c r="A40" s="19" t="s">
        <v>1385</v>
      </c>
      <c r="B40" s="118" t="s">
        <v>320</v>
      </c>
      <c r="C40" s="226" t="s">
        <v>321</v>
      </c>
      <c r="D40" s="140">
        <f>ROUND(D36/10,2)</f>
        <v>1.87</v>
      </c>
      <c r="E40" s="4"/>
      <c r="F40" s="33"/>
      <c r="G40" s="33"/>
      <c r="H40" s="4"/>
      <c r="I40" s="33"/>
      <c r="J40" s="337"/>
      <c r="K40" s="338"/>
      <c r="L40" s="338"/>
      <c r="M40" s="338"/>
      <c r="N40" s="338"/>
      <c r="O40" s="339"/>
      <c r="P40" s="205"/>
    </row>
    <row r="41" spans="1:59">
      <c r="A41" s="106">
        <v>7</v>
      </c>
      <c r="B41" s="158" t="s">
        <v>175</v>
      </c>
      <c r="C41" s="13" t="s">
        <v>39</v>
      </c>
      <c r="D41" s="289">
        <v>0.78029999999999999</v>
      </c>
      <c r="E41" s="33"/>
      <c r="F41" s="4"/>
      <c r="G41" s="4"/>
      <c r="H41" s="33"/>
      <c r="I41" s="4"/>
      <c r="J41" s="337"/>
      <c r="K41" s="338"/>
      <c r="L41" s="338"/>
      <c r="M41" s="338"/>
      <c r="N41" s="338"/>
      <c r="O41" s="339"/>
    </row>
    <row r="42" spans="1:59" s="25" customFormat="1" ht="14.25">
      <c r="A42" s="19" t="s">
        <v>268</v>
      </c>
      <c r="B42" s="21" t="s">
        <v>322</v>
      </c>
      <c r="C42" s="13" t="s">
        <v>39</v>
      </c>
      <c r="D42" s="161">
        <f>ROUND(D41*1.1,4)</f>
        <v>0.85829999999999995</v>
      </c>
      <c r="E42" s="11"/>
      <c r="F42" s="33"/>
      <c r="G42" s="4"/>
      <c r="H42" s="11"/>
      <c r="I42" s="4"/>
      <c r="J42" s="337"/>
      <c r="K42" s="338"/>
      <c r="L42" s="338"/>
      <c r="M42" s="338"/>
      <c r="N42" s="338"/>
      <c r="O42" s="339"/>
    </row>
    <row r="43" spans="1:59" s="25" customFormat="1" ht="12" customHeight="1">
      <c r="A43" s="19" t="s">
        <v>269</v>
      </c>
      <c r="B43" s="21" t="s">
        <v>178</v>
      </c>
      <c r="C43" s="13" t="s">
        <v>39</v>
      </c>
      <c r="D43" s="161">
        <f>ROUND(SUM(D42)*0.035,4)</f>
        <v>0.03</v>
      </c>
      <c r="E43" s="9"/>
      <c r="F43" s="33"/>
      <c r="G43" s="4"/>
      <c r="H43" s="4"/>
      <c r="I43" s="4"/>
      <c r="J43" s="337"/>
      <c r="K43" s="338"/>
      <c r="L43" s="338"/>
      <c r="M43" s="338"/>
      <c r="N43" s="338"/>
      <c r="O43" s="339"/>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row>
    <row r="44" spans="1:59" s="25" customFormat="1" ht="14.25">
      <c r="A44" s="19" t="s">
        <v>270</v>
      </c>
      <c r="B44" s="24" t="s">
        <v>323</v>
      </c>
      <c r="C44" s="13" t="s">
        <v>29</v>
      </c>
      <c r="D44" s="10">
        <f>ROUND(D36/0.2*9,0)</f>
        <v>842</v>
      </c>
      <c r="E44" s="36"/>
      <c r="F44" s="4"/>
      <c r="G44" s="4"/>
      <c r="H44" s="4"/>
      <c r="I44" s="4"/>
      <c r="J44" s="337"/>
      <c r="K44" s="338"/>
      <c r="L44" s="338"/>
      <c r="M44" s="338"/>
      <c r="N44" s="338"/>
      <c r="O44" s="339"/>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row>
    <row r="45" spans="1:59" s="25" customFormat="1" ht="14.25">
      <c r="A45" s="106">
        <v>8</v>
      </c>
      <c r="B45" s="2" t="s">
        <v>346</v>
      </c>
      <c r="C45" s="13" t="s">
        <v>39</v>
      </c>
      <c r="D45" s="161">
        <v>0.1232</v>
      </c>
      <c r="E45" s="153"/>
      <c r="F45" s="4"/>
      <c r="G45" s="4"/>
      <c r="H45" s="4"/>
      <c r="I45" s="4"/>
      <c r="J45" s="337"/>
      <c r="K45" s="338"/>
      <c r="L45" s="338"/>
      <c r="M45" s="338"/>
      <c r="N45" s="338"/>
      <c r="O45" s="339"/>
    </row>
    <row r="46" spans="1:59" s="25" customFormat="1" ht="14.25">
      <c r="A46" s="106"/>
      <c r="B46" s="180" t="s">
        <v>313</v>
      </c>
      <c r="C46" s="13"/>
      <c r="D46" s="9"/>
      <c r="E46" s="33"/>
      <c r="F46" s="33"/>
      <c r="G46" s="4"/>
      <c r="H46" s="4"/>
      <c r="I46" s="4"/>
      <c r="J46" s="4"/>
      <c r="K46" s="4"/>
      <c r="L46" s="4"/>
      <c r="M46" s="4"/>
      <c r="N46" s="4"/>
      <c r="O46" s="20"/>
      <c r="P46" s="117"/>
    </row>
    <row r="47" spans="1:59" s="25" customFormat="1" ht="14.25">
      <c r="A47" s="106"/>
      <c r="B47" s="180" t="s">
        <v>348</v>
      </c>
      <c r="C47" s="13"/>
      <c r="D47" s="9"/>
      <c r="E47" s="33"/>
      <c r="F47" s="33"/>
      <c r="G47" s="4"/>
      <c r="H47" s="4"/>
      <c r="I47" s="4"/>
      <c r="J47" s="4"/>
      <c r="K47" s="4"/>
      <c r="L47" s="4"/>
      <c r="M47" s="4"/>
      <c r="N47" s="4"/>
      <c r="O47" s="20"/>
      <c r="P47" s="117"/>
    </row>
    <row r="48" spans="1:59" s="25" customFormat="1" ht="14.25">
      <c r="A48" s="106">
        <v>9</v>
      </c>
      <c r="B48" s="2" t="s">
        <v>350</v>
      </c>
      <c r="C48" s="226" t="s">
        <v>26</v>
      </c>
      <c r="D48" s="9">
        <v>23.3</v>
      </c>
      <c r="E48" s="9"/>
      <c r="F48" s="4"/>
      <c r="G48" s="4"/>
      <c r="H48" s="34"/>
      <c r="I48" s="4"/>
      <c r="J48" s="337"/>
      <c r="K48" s="338"/>
      <c r="L48" s="338"/>
      <c r="M48" s="338"/>
      <c r="N48" s="338"/>
      <c r="O48" s="339"/>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row>
    <row r="49" spans="1:59" s="25" customFormat="1" ht="14.25">
      <c r="A49" s="19" t="s">
        <v>1386</v>
      </c>
      <c r="B49" s="118" t="s">
        <v>210</v>
      </c>
      <c r="C49" s="226" t="s">
        <v>26</v>
      </c>
      <c r="D49" s="9">
        <f>ROUND(D48*1.02,2)</f>
        <v>23.77</v>
      </c>
      <c r="E49" s="4"/>
      <c r="F49" s="33"/>
      <c r="G49" s="33"/>
      <c r="H49" s="4"/>
      <c r="I49" s="33"/>
      <c r="J49" s="337"/>
      <c r="K49" s="338"/>
      <c r="L49" s="338"/>
      <c r="M49" s="338"/>
      <c r="N49" s="338"/>
      <c r="O49" s="339"/>
      <c r="P49" s="205"/>
    </row>
    <row r="50" spans="1:59" s="25" customFormat="1" ht="14.25">
      <c r="A50" s="19" t="s">
        <v>1387</v>
      </c>
      <c r="B50" s="21" t="s">
        <v>318</v>
      </c>
      <c r="C50" s="13" t="s">
        <v>30</v>
      </c>
      <c r="D50" s="10">
        <v>1</v>
      </c>
      <c r="E50" s="9"/>
      <c r="F50" s="33"/>
      <c r="G50" s="4"/>
      <c r="H50" s="129"/>
      <c r="I50" s="4"/>
      <c r="J50" s="337"/>
      <c r="K50" s="338"/>
      <c r="L50" s="338"/>
      <c r="M50" s="338"/>
      <c r="N50" s="338"/>
      <c r="O50" s="339"/>
    </row>
    <row r="51" spans="1:59" s="25" customFormat="1" ht="14.25">
      <c r="A51" s="19" t="s">
        <v>1388</v>
      </c>
      <c r="B51" s="21" t="s">
        <v>319</v>
      </c>
      <c r="C51" s="13" t="s">
        <v>30</v>
      </c>
      <c r="D51" s="10">
        <v>1</v>
      </c>
      <c r="E51" s="9"/>
      <c r="F51" s="33"/>
      <c r="G51" s="4"/>
      <c r="H51" s="4"/>
      <c r="I51" s="4"/>
      <c r="J51" s="337"/>
      <c r="K51" s="338"/>
      <c r="L51" s="338"/>
      <c r="M51" s="338"/>
      <c r="N51" s="338"/>
      <c r="O51" s="339"/>
    </row>
    <row r="52" spans="1:59" s="25" customFormat="1" ht="14.25">
      <c r="A52" s="19" t="s">
        <v>1389</v>
      </c>
      <c r="B52" s="118" t="s">
        <v>320</v>
      </c>
      <c r="C52" s="226" t="s">
        <v>321</v>
      </c>
      <c r="D52" s="140">
        <f>D48/10</f>
        <v>2.33</v>
      </c>
      <c r="E52" s="4"/>
      <c r="F52" s="33"/>
      <c r="G52" s="33"/>
      <c r="H52" s="4"/>
      <c r="I52" s="33"/>
      <c r="J52" s="337"/>
      <c r="K52" s="338"/>
      <c r="L52" s="338"/>
      <c r="M52" s="338"/>
      <c r="N52" s="338"/>
      <c r="O52" s="339"/>
      <c r="P52" s="205"/>
    </row>
    <row r="53" spans="1:59">
      <c r="A53" s="106">
        <v>10</v>
      </c>
      <c r="B53" s="158" t="s">
        <v>351</v>
      </c>
      <c r="C53" s="13" t="s">
        <v>39</v>
      </c>
      <c r="D53" s="289">
        <v>3.0728</v>
      </c>
      <c r="E53" s="33"/>
      <c r="F53" s="4"/>
      <c r="G53" s="4"/>
      <c r="H53" s="33"/>
      <c r="I53" s="4"/>
      <c r="J53" s="337"/>
      <c r="K53" s="338"/>
      <c r="L53" s="338"/>
      <c r="M53" s="338"/>
      <c r="N53" s="338"/>
      <c r="O53" s="339"/>
    </row>
    <row r="54" spans="1:59" s="25" customFormat="1" ht="14.25">
      <c r="A54" s="19" t="s">
        <v>1390</v>
      </c>
      <c r="B54" s="21" t="s">
        <v>322</v>
      </c>
      <c r="C54" s="13" t="s">
        <v>39</v>
      </c>
      <c r="D54" s="161">
        <f>ROUND(D53*1.1,4)</f>
        <v>3.3801000000000001</v>
      </c>
      <c r="E54" s="11"/>
      <c r="F54" s="33"/>
      <c r="G54" s="4"/>
      <c r="H54" s="11"/>
      <c r="I54" s="4"/>
      <c r="J54" s="337"/>
      <c r="K54" s="338"/>
      <c r="L54" s="338"/>
      <c r="M54" s="338"/>
      <c r="N54" s="338"/>
      <c r="O54" s="339"/>
    </row>
    <row r="55" spans="1:59" s="25" customFormat="1" ht="12" customHeight="1">
      <c r="A55" s="19" t="s">
        <v>1391</v>
      </c>
      <c r="B55" s="21" t="s">
        <v>178</v>
      </c>
      <c r="C55" s="13" t="s">
        <v>39</v>
      </c>
      <c r="D55" s="161">
        <f>ROUND(SUM(D54)*0.035,4)</f>
        <v>0.1183</v>
      </c>
      <c r="E55" s="9"/>
      <c r="F55" s="33"/>
      <c r="G55" s="4"/>
      <c r="H55" s="4"/>
      <c r="I55" s="4"/>
      <c r="J55" s="337"/>
      <c r="K55" s="338"/>
      <c r="L55" s="338"/>
      <c r="M55" s="338"/>
      <c r="N55" s="338"/>
      <c r="O55" s="339"/>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row>
    <row r="56" spans="1:59" s="25" customFormat="1" ht="14.25">
      <c r="A56" s="19" t="s">
        <v>1392</v>
      </c>
      <c r="B56" s="24" t="s">
        <v>323</v>
      </c>
      <c r="C56" s="13" t="s">
        <v>29</v>
      </c>
      <c r="D56" s="10">
        <f>ROUND(D48/0.2*9,0)</f>
        <v>1049</v>
      </c>
      <c r="E56" s="36"/>
      <c r="F56" s="4"/>
      <c r="G56" s="4"/>
      <c r="H56" s="4"/>
      <c r="I56" s="4"/>
      <c r="J56" s="337"/>
      <c r="K56" s="338"/>
      <c r="L56" s="338"/>
      <c r="M56" s="338"/>
      <c r="N56" s="338"/>
      <c r="O56" s="339"/>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row>
    <row r="57" spans="1:59" s="25" customFormat="1" ht="14.25">
      <c r="A57" s="106"/>
      <c r="B57" s="180" t="s">
        <v>349</v>
      </c>
      <c r="C57" s="13"/>
      <c r="D57" s="9"/>
      <c r="E57" s="33"/>
      <c r="F57" s="33"/>
      <c r="G57" s="4"/>
      <c r="H57" s="4"/>
      <c r="I57" s="4"/>
      <c r="J57" s="4"/>
      <c r="K57" s="4"/>
      <c r="L57" s="4"/>
      <c r="M57" s="4"/>
      <c r="N57" s="4"/>
      <c r="O57" s="20"/>
      <c r="P57" s="117"/>
    </row>
    <row r="58" spans="1:59" s="25" customFormat="1" ht="14.25">
      <c r="A58" s="106">
        <v>11</v>
      </c>
      <c r="B58" s="2" t="s">
        <v>350</v>
      </c>
      <c r="C58" s="226" t="s">
        <v>26</v>
      </c>
      <c r="D58" s="9">
        <v>0.7</v>
      </c>
      <c r="E58" s="9"/>
      <c r="F58" s="4"/>
      <c r="G58" s="4"/>
      <c r="H58" s="34"/>
      <c r="I58" s="4"/>
      <c r="J58" s="337"/>
      <c r="K58" s="338"/>
      <c r="L58" s="338"/>
      <c r="M58" s="338"/>
      <c r="N58" s="338"/>
      <c r="O58" s="339"/>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row>
    <row r="59" spans="1:59" s="25" customFormat="1" ht="14.25">
      <c r="A59" s="19" t="s">
        <v>1393</v>
      </c>
      <c r="B59" s="118" t="s">
        <v>210</v>
      </c>
      <c r="C59" s="226" t="s">
        <v>26</v>
      </c>
      <c r="D59" s="9">
        <f>ROUND(D58*1.02,2)</f>
        <v>0.71</v>
      </c>
      <c r="E59" s="4"/>
      <c r="F59" s="33"/>
      <c r="G59" s="33"/>
      <c r="H59" s="4"/>
      <c r="I59" s="33"/>
      <c r="J59" s="337"/>
      <c r="K59" s="338"/>
      <c r="L59" s="338"/>
      <c r="M59" s="338"/>
      <c r="N59" s="338"/>
      <c r="O59" s="339"/>
      <c r="P59" s="205"/>
    </row>
    <row r="60" spans="1:59" s="25" customFormat="1" ht="14.25">
      <c r="A60" s="19" t="s">
        <v>1394</v>
      </c>
      <c r="B60" s="21" t="s">
        <v>318</v>
      </c>
      <c r="C60" s="13" t="s">
        <v>30</v>
      </c>
      <c r="D60" s="10">
        <v>1</v>
      </c>
      <c r="E60" s="9"/>
      <c r="F60" s="33"/>
      <c r="G60" s="4"/>
      <c r="H60" s="129"/>
      <c r="I60" s="4"/>
      <c r="J60" s="337"/>
      <c r="K60" s="338"/>
      <c r="L60" s="338"/>
      <c r="M60" s="338"/>
      <c r="N60" s="338"/>
      <c r="O60" s="339"/>
    </row>
    <row r="61" spans="1:59" s="25" customFormat="1" ht="14.25">
      <c r="A61" s="19" t="s">
        <v>1395</v>
      </c>
      <c r="B61" s="21" t="s">
        <v>319</v>
      </c>
      <c r="C61" s="13" t="s">
        <v>30</v>
      </c>
      <c r="D61" s="10">
        <v>1</v>
      </c>
      <c r="E61" s="9"/>
      <c r="F61" s="33"/>
      <c r="G61" s="4"/>
      <c r="H61" s="4"/>
      <c r="I61" s="4"/>
      <c r="J61" s="337"/>
      <c r="K61" s="338"/>
      <c r="L61" s="338"/>
      <c r="M61" s="338"/>
      <c r="N61" s="338"/>
      <c r="O61" s="339"/>
    </row>
    <row r="62" spans="1:59" s="25" customFormat="1" ht="14.25">
      <c r="A62" s="19" t="s">
        <v>1396</v>
      </c>
      <c r="B62" s="118" t="s">
        <v>320</v>
      </c>
      <c r="C62" s="226" t="s">
        <v>321</v>
      </c>
      <c r="D62" s="140">
        <f>ROUND(D58/10,2)</f>
        <v>7.0000000000000007E-2</v>
      </c>
      <c r="E62" s="4"/>
      <c r="F62" s="33"/>
      <c r="G62" s="33"/>
      <c r="H62" s="4"/>
      <c r="I62" s="33"/>
      <c r="J62" s="337"/>
      <c r="K62" s="338"/>
      <c r="L62" s="338"/>
      <c r="M62" s="338"/>
      <c r="N62" s="338"/>
      <c r="O62" s="339"/>
      <c r="P62" s="205"/>
    </row>
    <row r="63" spans="1:59">
      <c r="A63" s="106">
        <v>12</v>
      </c>
      <c r="B63" s="158" t="s">
        <v>351</v>
      </c>
      <c r="C63" s="13" t="s">
        <v>39</v>
      </c>
      <c r="D63" s="289">
        <v>9.7699999999999995E-2</v>
      </c>
      <c r="E63" s="33"/>
      <c r="F63" s="4"/>
      <c r="G63" s="4"/>
      <c r="H63" s="33"/>
      <c r="I63" s="4"/>
      <c r="J63" s="337"/>
      <c r="K63" s="338"/>
      <c r="L63" s="338"/>
      <c r="M63" s="338"/>
      <c r="N63" s="338"/>
      <c r="O63" s="339"/>
    </row>
    <row r="64" spans="1:59" s="25" customFormat="1" ht="14.25">
      <c r="A64" s="19" t="s">
        <v>1397</v>
      </c>
      <c r="B64" s="21" t="s">
        <v>322</v>
      </c>
      <c r="C64" s="13" t="s">
        <v>39</v>
      </c>
      <c r="D64" s="161">
        <f>ROUND(D63*1.1,4)</f>
        <v>0.1075</v>
      </c>
      <c r="E64" s="11"/>
      <c r="F64" s="33"/>
      <c r="G64" s="4"/>
      <c r="H64" s="11"/>
      <c r="I64" s="4"/>
      <c r="J64" s="337"/>
      <c r="K64" s="338"/>
      <c r="L64" s="338"/>
      <c r="M64" s="338"/>
      <c r="N64" s="338"/>
      <c r="O64" s="339"/>
    </row>
    <row r="65" spans="1:59" s="25" customFormat="1" ht="12" customHeight="1">
      <c r="A65" s="19" t="s">
        <v>1398</v>
      </c>
      <c r="B65" s="21" t="s">
        <v>178</v>
      </c>
      <c r="C65" s="13" t="s">
        <v>39</v>
      </c>
      <c r="D65" s="161">
        <f>ROUND(SUM(D64)*0.035,4)</f>
        <v>3.8E-3</v>
      </c>
      <c r="E65" s="9"/>
      <c r="F65" s="33"/>
      <c r="G65" s="4"/>
      <c r="H65" s="4"/>
      <c r="I65" s="4"/>
      <c r="J65" s="337"/>
      <c r="K65" s="338"/>
      <c r="L65" s="338"/>
      <c r="M65" s="338"/>
      <c r="N65" s="338"/>
      <c r="O65" s="339"/>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row>
    <row r="66" spans="1:59" s="25" customFormat="1" ht="14.25">
      <c r="A66" s="19" t="s">
        <v>1399</v>
      </c>
      <c r="B66" s="24" t="s">
        <v>323</v>
      </c>
      <c r="C66" s="13" t="s">
        <v>29</v>
      </c>
      <c r="D66" s="10">
        <f>ROUND(D58/0.2*9,0)</f>
        <v>32</v>
      </c>
      <c r="E66" s="36"/>
      <c r="F66" s="4"/>
      <c r="G66" s="4"/>
      <c r="H66" s="4"/>
      <c r="I66" s="4"/>
      <c r="J66" s="337"/>
      <c r="K66" s="338"/>
      <c r="L66" s="338"/>
      <c r="M66" s="338"/>
      <c r="N66" s="338"/>
      <c r="O66" s="339"/>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row>
    <row r="67" spans="1:59" s="25" customFormat="1" ht="14.25">
      <c r="A67" s="106"/>
      <c r="B67" s="180" t="s">
        <v>354</v>
      </c>
      <c r="C67" s="13"/>
      <c r="D67" s="9"/>
      <c r="E67" s="33"/>
      <c r="F67" s="33"/>
      <c r="G67" s="4"/>
      <c r="H67" s="4"/>
      <c r="I67" s="4"/>
      <c r="J67" s="4"/>
      <c r="K67" s="4"/>
      <c r="L67" s="4"/>
      <c r="M67" s="4"/>
      <c r="N67" s="4"/>
      <c r="O67" s="20"/>
      <c r="P67" s="117"/>
    </row>
    <row r="68" spans="1:59">
      <c r="A68" s="106">
        <v>13</v>
      </c>
      <c r="B68" s="174" t="s">
        <v>1360</v>
      </c>
      <c r="C68" s="116" t="s">
        <v>26</v>
      </c>
      <c r="D68" s="242">
        <v>12.8</v>
      </c>
      <c r="E68" s="33"/>
      <c r="F68" s="4"/>
      <c r="G68" s="4"/>
      <c r="H68" s="33"/>
      <c r="I68" s="4"/>
      <c r="J68" s="337"/>
      <c r="K68" s="338"/>
      <c r="L68" s="338"/>
      <c r="M68" s="338"/>
      <c r="N68" s="338"/>
      <c r="O68" s="339"/>
    </row>
    <row r="69" spans="1:59" s="25" customFormat="1" ht="14.25">
      <c r="A69" s="19" t="s">
        <v>1365</v>
      </c>
      <c r="B69" s="118" t="s">
        <v>338</v>
      </c>
      <c r="C69" s="226" t="s">
        <v>26</v>
      </c>
      <c r="D69" s="9">
        <f>ROUND(D68*1.02,2)</f>
        <v>13.06</v>
      </c>
      <c r="E69" s="33"/>
      <c r="F69" s="33"/>
      <c r="G69" s="33"/>
      <c r="H69" s="4"/>
      <c r="I69" s="33"/>
      <c r="J69" s="337"/>
      <c r="K69" s="338"/>
      <c r="L69" s="338"/>
      <c r="M69" s="338"/>
      <c r="N69" s="338"/>
      <c r="O69" s="339"/>
      <c r="P69" s="205"/>
    </row>
    <row r="70" spans="1:59" s="25" customFormat="1" ht="14.25">
      <c r="A70" s="19" t="s">
        <v>1366</v>
      </c>
      <c r="B70" s="24" t="s">
        <v>341</v>
      </c>
      <c r="C70" s="13" t="s">
        <v>30</v>
      </c>
      <c r="D70" s="10">
        <v>1</v>
      </c>
      <c r="E70" s="36"/>
      <c r="F70" s="4"/>
      <c r="G70" s="4"/>
      <c r="H70" s="129"/>
      <c r="I70" s="4"/>
      <c r="J70" s="337"/>
      <c r="K70" s="338"/>
      <c r="L70" s="338"/>
      <c r="M70" s="338"/>
      <c r="N70" s="338"/>
      <c r="O70" s="339"/>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row>
    <row r="71" spans="1:59" s="25" customFormat="1" ht="14.25">
      <c r="A71" s="19" t="s">
        <v>1400</v>
      </c>
      <c r="B71" s="24" t="s">
        <v>319</v>
      </c>
      <c r="C71" s="13" t="s">
        <v>30</v>
      </c>
      <c r="D71" s="10">
        <v>1</v>
      </c>
      <c r="E71" s="36"/>
      <c r="F71" s="4"/>
      <c r="G71" s="4"/>
      <c r="H71" s="4"/>
      <c r="I71" s="4"/>
      <c r="J71" s="337"/>
      <c r="K71" s="338"/>
      <c r="L71" s="338"/>
      <c r="M71" s="338"/>
      <c r="N71" s="338"/>
      <c r="O71" s="339"/>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row>
    <row r="72" spans="1:59" s="25" customFormat="1" ht="14.25">
      <c r="A72" s="19" t="s">
        <v>1401</v>
      </c>
      <c r="B72" s="118" t="s">
        <v>320</v>
      </c>
      <c r="C72" s="226" t="s">
        <v>321</v>
      </c>
      <c r="D72" s="9">
        <f>ROUND(D68/15,2)</f>
        <v>0.85</v>
      </c>
      <c r="E72" s="33"/>
      <c r="F72" s="33"/>
      <c r="G72" s="33"/>
      <c r="H72" s="4"/>
      <c r="I72" s="33"/>
      <c r="J72" s="337"/>
      <c r="K72" s="338"/>
      <c r="L72" s="338"/>
      <c r="M72" s="338"/>
      <c r="N72" s="338"/>
      <c r="O72" s="339"/>
      <c r="P72" s="205"/>
    </row>
    <row r="73" spans="1:59">
      <c r="A73" s="106">
        <v>14</v>
      </c>
      <c r="B73" s="174" t="s">
        <v>353</v>
      </c>
      <c r="C73" s="13" t="s">
        <v>39</v>
      </c>
      <c r="D73" s="289">
        <v>0.27</v>
      </c>
      <c r="E73" s="33"/>
      <c r="F73" s="4"/>
      <c r="G73" s="4"/>
      <c r="H73" s="33"/>
      <c r="I73" s="4"/>
      <c r="J73" s="337"/>
      <c r="K73" s="338"/>
      <c r="L73" s="338"/>
      <c r="M73" s="338"/>
      <c r="N73" s="338"/>
      <c r="O73" s="339"/>
    </row>
    <row r="74" spans="1:59" s="25" customFormat="1" ht="14.25">
      <c r="A74" s="19" t="s">
        <v>1402</v>
      </c>
      <c r="B74" s="21" t="s">
        <v>322</v>
      </c>
      <c r="C74" s="13" t="s">
        <v>39</v>
      </c>
      <c r="D74" s="161">
        <f>ROUND(D73*1.1,4)</f>
        <v>0.29699999999999999</v>
      </c>
      <c r="E74" s="11"/>
      <c r="F74" s="33"/>
      <c r="G74" s="4"/>
      <c r="H74" s="11"/>
      <c r="I74" s="4"/>
      <c r="J74" s="337"/>
      <c r="K74" s="338"/>
      <c r="L74" s="338"/>
      <c r="M74" s="338"/>
      <c r="N74" s="338"/>
      <c r="O74" s="339"/>
    </row>
    <row r="75" spans="1:59" s="25" customFormat="1" ht="12" customHeight="1">
      <c r="A75" s="19" t="s">
        <v>1403</v>
      </c>
      <c r="B75" s="21" t="s">
        <v>178</v>
      </c>
      <c r="C75" s="13" t="s">
        <v>39</v>
      </c>
      <c r="D75" s="161">
        <f>ROUND(SUM(D74)*0.035,4)</f>
        <v>1.04E-2</v>
      </c>
      <c r="E75" s="9"/>
      <c r="F75" s="33"/>
      <c r="G75" s="4"/>
      <c r="H75" s="4"/>
      <c r="I75" s="4"/>
      <c r="J75" s="337"/>
      <c r="K75" s="338"/>
      <c r="L75" s="338"/>
      <c r="M75" s="338"/>
      <c r="N75" s="338"/>
      <c r="O75" s="339"/>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row>
    <row r="76" spans="1:59" s="25" customFormat="1" ht="14.25">
      <c r="A76" s="19" t="s">
        <v>1404</v>
      </c>
      <c r="B76" s="24" t="s">
        <v>323</v>
      </c>
      <c r="C76" s="13" t="s">
        <v>29</v>
      </c>
      <c r="D76" s="10">
        <f>ROUND(D68/0.8*9,0)</f>
        <v>144</v>
      </c>
      <c r="E76" s="36"/>
      <c r="F76" s="4"/>
      <c r="G76" s="4"/>
      <c r="H76" s="4"/>
      <c r="I76" s="4"/>
      <c r="J76" s="337"/>
      <c r="K76" s="338"/>
      <c r="L76" s="338"/>
      <c r="M76" s="338"/>
      <c r="N76" s="338"/>
      <c r="O76" s="339"/>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row>
    <row r="77" spans="1:59" s="25" customFormat="1" ht="14.25">
      <c r="A77" s="106"/>
      <c r="B77" s="180" t="s">
        <v>314</v>
      </c>
      <c r="C77" s="13"/>
      <c r="D77" s="9"/>
      <c r="E77" s="33"/>
      <c r="F77" s="33"/>
      <c r="G77" s="4"/>
      <c r="H77" s="4"/>
      <c r="I77" s="4"/>
      <c r="J77" s="4"/>
      <c r="K77" s="4"/>
      <c r="L77" s="4"/>
      <c r="M77" s="4"/>
      <c r="N77" s="4"/>
      <c r="O77" s="20"/>
      <c r="P77" s="117"/>
    </row>
    <row r="78" spans="1:59" s="25" customFormat="1" ht="14.25">
      <c r="A78" s="106"/>
      <c r="B78" s="180" t="s">
        <v>921</v>
      </c>
      <c r="C78" s="13"/>
      <c r="D78" s="9"/>
      <c r="E78" s="33"/>
      <c r="F78" s="33"/>
      <c r="G78" s="4"/>
      <c r="H78" s="4"/>
      <c r="I78" s="4"/>
      <c r="J78" s="4"/>
      <c r="K78" s="4"/>
      <c r="L78" s="4"/>
      <c r="M78" s="4"/>
      <c r="N78" s="4"/>
      <c r="O78" s="20"/>
      <c r="P78" s="117"/>
    </row>
    <row r="79" spans="1:59" s="25" customFormat="1" ht="14.25">
      <c r="A79" s="106">
        <v>15</v>
      </c>
      <c r="B79" s="49" t="s">
        <v>355</v>
      </c>
      <c r="C79" s="13" t="s">
        <v>14</v>
      </c>
      <c r="D79" s="9">
        <v>2406</v>
      </c>
      <c r="E79" s="33"/>
      <c r="F79" s="132"/>
      <c r="G79" s="4"/>
      <c r="H79" s="4"/>
      <c r="I79" s="112"/>
      <c r="J79" s="337"/>
      <c r="K79" s="338"/>
      <c r="L79" s="338"/>
      <c r="M79" s="338"/>
      <c r="N79" s="338"/>
      <c r="O79" s="339"/>
    </row>
    <row r="80" spans="1:59" s="25" customFormat="1" ht="14.25">
      <c r="A80" s="106">
        <f t="shared" ref="A80" si="1">A79+1</f>
        <v>16</v>
      </c>
      <c r="B80" s="49" t="s">
        <v>290</v>
      </c>
      <c r="C80" s="13" t="s">
        <v>14</v>
      </c>
      <c r="D80" s="9">
        <v>2406</v>
      </c>
      <c r="E80" s="33"/>
      <c r="F80" s="40"/>
      <c r="G80" s="4"/>
      <c r="H80" s="34"/>
      <c r="I80" s="112"/>
      <c r="J80" s="337"/>
      <c r="K80" s="338"/>
      <c r="L80" s="338"/>
      <c r="M80" s="338"/>
      <c r="N80" s="338"/>
      <c r="O80" s="339"/>
    </row>
    <row r="81" spans="1:59" s="25" customFormat="1" ht="14.25">
      <c r="A81" s="19" t="s">
        <v>1405</v>
      </c>
      <c r="B81" s="24" t="s">
        <v>291</v>
      </c>
      <c r="C81" s="99" t="s">
        <v>14</v>
      </c>
      <c r="D81" s="100">
        <f>ROUND(D80*1.15,2)</f>
        <v>2766.9</v>
      </c>
      <c r="E81" s="4"/>
      <c r="F81" s="4"/>
      <c r="G81" s="4"/>
      <c r="H81" s="4"/>
      <c r="I81" s="4"/>
      <c r="J81" s="337"/>
      <c r="K81" s="338"/>
      <c r="L81" s="338"/>
      <c r="M81" s="338"/>
      <c r="N81" s="338"/>
      <c r="O81" s="339"/>
    </row>
    <row r="82" spans="1:59">
      <c r="A82" s="106">
        <v>17</v>
      </c>
      <c r="B82" s="158" t="s">
        <v>342</v>
      </c>
      <c r="C82" s="116" t="s">
        <v>26</v>
      </c>
      <c r="D82" s="242">
        <v>126.3</v>
      </c>
      <c r="E82" s="33"/>
      <c r="F82" s="4"/>
      <c r="G82" s="4"/>
      <c r="H82" s="33"/>
      <c r="I82" s="4"/>
      <c r="J82" s="337"/>
      <c r="K82" s="338"/>
      <c r="L82" s="338"/>
      <c r="M82" s="338"/>
      <c r="N82" s="338"/>
      <c r="O82" s="339"/>
    </row>
    <row r="83" spans="1:59" s="25" customFormat="1" ht="14.25">
      <c r="A83" s="19" t="s">
        <v>1364</v>
      </c>
      <c r="B83" s="118" t="s">
        <v>340</v>
      </c>
      <c r="C83" s="226" t="s">
        <v>26</v>
      </c>
      <c r="D83" s="9">
        <f>ROUND(D82*1.08,2)</f>
        <v>136.4</v>
      </c>
      <c r="E83" s="33"/>
      <c r="F83" s="33"/>
      <c r="G83" s="33"/>
      <c r="H83" s="100"/>
      <c r="I83" s="33"/>
      <c r="J83" s="337"/>
      <c r="K83" s="338"/>
      <c r="L83" s="338"/>
      <c r="M83" s="338"/>
      <c r="N83" s="338"/>
      <c r="O83" s="339"/>
      <c r="P83" s="205"/>
    </row>
    <row r="84" spans="1:59" s="25" customFormat="1" ht="14.25">
      <c r="A84" s="19" t="s">
        <v>1406</v>
      </c>
      <c r="B84" s="24" t="s">
        <v>347</v>
      </c>
      <c r="C84" s="13" t="s">
        <v>30</v>
      </c>
      <c r="D84" s="10">
        <v>1</v>
      </c>
      <c r="E84" s="36"/>
      <c r="F84" s="4"/>
      <c r="G84" s="4"/>
      <c r="H84" s="129"/>
      <c r="I84" s="4"/>
      <c r="J84" s="337"/>
      <c r="K84" s="338"/>
      <c r="L84" s="338"/>
      <c r="M84" s="338"/>
      <c r="N84" s="338"/>
      <c r="O84" s="339"/>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row>
    <row r="85" spans="1:59" s="25" customFormat="1" ht="14.25">
      <c r="A85" s="19" t="s">
        <v>1407</v>
      </c>
      <c r="B85" s="24" t="s">
        <v>319</v>
      </c>
      <c r="C85" s="13" t="s">
        <v>30</v>
      </c>
      <c r="D85" s="10">
        <v>1</v>
      </c>
      <c r="E85" s="36"/>
      <c r="F85" s="4"/>
      <c r="G85" s="4"/>
      <c r="H85" s="4"/>
      <c r="I85" s="4"/>
      <c r="J85" s="337"/>
      <c r="K85" s="338"/>
      <c r="L85" s="338"/>
      <c r="M85" s="338"/>
      <c r="N85" s="338"/>
      <c r="O85" s="339"/>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row>
    <row r="86" spans="1:59" s="25" customFormat="1" ht="14.25">
      <c r="A86" s="19" t="s">
        <v>1408</v>
      </c>
      <c r="B86" s="118" t="s">
        <v>1135</v>
      </c>
      <c r="C86" s="116" t="s">
        <v>26</v>
      </c>
      <c r="D86" s="242">
        <f>D82</f>
        <v>126.3</v>
      </c>
      <c r="E86" s="33"/>
      <c r="F86" s="4"/>
      <c r="G86" s="4"/>
      <c r="H86" s="4"/>
      <c r="I86" s="4"/>
      <c r="J86" s="337"/>
      <c r="K86" s="338"/>
      <c r="L86" s="338"/>
      <c r="M86" s="338"/>
      <c r="N86" s="338"/>
      <c r="O86" s="339"/>
      <c r="P86" s="205"/>
    </row>
    <row r="87" spans="1:59">
      <c r="A87" s="106">
        <v>18</v>
      </c>
      <c r="B87" s="174" t="s">
        <v>356</v>
      </c>
      <c r="C87" s="116" t="s">
        <v>26</v>
      </c>
      <c r="D87" s="242">
        <v>613.6</v>
      </c>
      <c r="E87" s="33"/>
      <c r="F87" s="4"/>
      <c r="G87" s="4"/>
      <c r="H87" s="33"/>
      <c r="I87" s="4"/>
      <c r="J87" s="337"/>
      <c r="K87" s="338"/>
      <c r="L87" s="338"/>
      <c r="M87" s="338"/>
      <c r="N87" s="338"/>
      <c r="O87" s="339"/>
    </row>
    <row r="88" spans="1:59" s="25" customFormat="1" ht="14.25">
      <c r="A88" s="19" t="s">
        <v>1409</v>
      </c>
      <c r="B88" s="118" t="s">
        <v>210</v>
      </c>
      <c r="C88" s="226" t="s">
        <v>26</v>
      </c>
      <c r="D88" s="9">
        <f>ROUND(D87*1.02,2)</f>
        <v>625.87</v>
      </c>
      <c r="E88" s="33"/>
      <c r="F88" s="33"/>
      <c r="G88" s="33"/>
      <c r="H88" s="4"/>
      <c r="I88" s="33"/>
      <c r="J88" s="337"/>
      <c r="K88" s="338"/>
      <c r="L88" s="338"/>
      <c r="M88" s="338"/>
      <c r="N88" s="338"/>
      <c r="O88" s="339"/>
      <c r="P88" s="205"/>
    </row>
    <row r="89" spans="1:59" s="25" customFormat="1" ht="14.25">
      <c r="A89" s="19" t="s">
        <v>1410</v>
      </c>
      <c r="B89" s="24" t="s">
        <v>341</v>
      </c>
      <c r="C89" s="13" t="s">
        <v>30</v>
      </c>
      <c r="D89" s="10">
        <v>1</v>
      </c>
      <c r="E89" s="36"/>
      <c r="F89" s="4"/>
      <c r="G89" s="4"/>
      <c r="H89" s="129"/>
      <c r="I89" s="4"/>
      <c r="J89" s="337"/>
      <c r="K89" s="338"/>
      <c r="L89" s="338"/>
      <c r="M89" s="338"/>
      <c r="N89" s="338"/>
      <c r="O89" s="339"/>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row>
    <row r="90" spans="1:59" s="25" customFormat="1" ht="14.25">
      <c r="A90" s="19" t="s">
        <v>1411</v>
      </c>
      <c r="B90" s="222" t="s">
        <v>79</v>
      </c>
      <c r="C90" s="13" t="s">
        <v>42</v>
      </c>
      <c r="D90" s="138">
        <f>ROUND(D79*0.33,2)</f>
        <v>793.98</v>
      </c>
      <c r="E90" s="107"/>
      <c r="F90" s="107"/>
      <c r="G90" s="108"/>
      <c r="H90" s="4"/>
      <c r="I90" s="4"/>
      <c r="J90" s="337"/>
      <c r="K90" s="338"/>
      <c r="L90" s="338"/>
      <c r="M90" s="338"/>
      <c r="N90" s="338"/>
      <c r="O90" s="339"/>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row>
    <row r="91" spans="1:59" s="25" customFormat="1" ht="14.25">
      <c r="A91" s="19" t="s">
        <v>1412</v>
      </c>
      <c r="B91" s="24" t="s">
        <v>319</v>
      </c>
      <c r="C91" s="13" t="s">
        <v>30</v>
      </c>
      <c r="D91" s="10">
        <v>1</v>
      </c>
      <c r="E91" s="36"/>
      <c r="F91" s="4"/>
      <c r="G91" s="4"/>
      <c r="H91" s="4"/>
      <c r="I91" s="4"/>
      <c r="J91" s="337"/>
      <c r="K91" s="338"/>
      <c r="L91" s="338"/>
      <c r="M91" s="338"/>
      <c r="N91" s="338"/>
      <c r="O91" s="339"/>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row>
    <row r="92" spans="1:59" s="25" customFormat="1" ht="14.25">
      <c r="A92" s="19" t="s">
        <v>1413</v>
      </c>
      <c r="B92" s="118" t="s">
        <v>320</v>
      </c>
      <c r="C92" s="226" t="s">
        <v>321</v>
      </c>
      <c r="D92" s="9">
        <f>ROUND(D87/15,2)</f>
        <v>40.909999999999997</v>
      </c>
      <c r="E92" s="33"/>
      <c r="F92" s="33"/>
      <c r="G92" s="33"/>
      <c r="H92" s="4"/>
      <c r="I92" s="33"/>
      <c r="J92" s="337"/>
      <c r="K92" s="338"/>
      <c r="L92" s="338"/>
      <c r="M92" s="338"/>
      <c r="N92" s="338"/>
      <c r="O92" s="339"/>
      <c r="P92" s="205"/>
    </row>
    <row r="93" spans="1:59">
      <c r="A93" s="106">
        <v>19</v>
      </c>
      <c r="B93" s="174" t="s">
        <v>357</v>
      </c>
      <c r="C93" s="13" t="s">
        <v>39</v>
      </c>
      <c r="D93" s="289">
        <v>43.572000000000003</v>
      </c>
      <c r="E93" s="33"/>
      <c r="F93" s="4"/>
      <c r="G93" s="4"/>
      <c r="H93" s="33"/>
      <c r="I93" s="4"/>
      <c r="J93" s="337"/>
      <c r="K93" s="338"/>
      <c r="L93" s="338"/>
      <c r="M93" s="338"/>
      <c r="N93" s="338"/>
      <c r="O93" s="339"/>
    </row>
    <row r="94" spans="1:59" s="25" customFormat="1" ht="14.25">
      <c r="A94" s="19" t="s">
        <v>1414</v>
      </c>
      <c r="B94" s="21" t="s">
        <v>322</v>
      </c>
      <c r="C94" s="13" t="s">
        <v>39</v>
      </c>
      <c r="D94" s="161">
        <f>ROUND(D93*1.1,4)</f>
        <v>47.929200000000002</v>
      </c>
      <c r="E94" s="11"/>
      <c r="F94" s="33"/>
      <c r="G94" s="4"/>
      <c r="H94" s="11"/>
      <c r="I94" s="4"/>
      <c r="J94" s="337"/>
      <c r="K94" s="338"/>
      <c r="L94" s="338"/>
      <c r="M94" s="338"/>
      <c r="N94" s="338"/>
      <c r="O94" s="339"/>
    </row>
    <row r="95" spans="1:59" s="25" customFormat="1" ht="12" customHeight="1">
      <c r="A95" s="19" t="s">
        <v>1415</v>
      </c>
      <c r="B95" s="21" t="s">
        <v>178</v>
      </c>
      <c r="C95" s="13" t="s">
        <v>39</v>
      </c>
      <c r="D95" s="161">
        <f>ROUND(SUM(D94)*0.035,4)</f>
        <v>1.6775</v>
      </c>
      <c r="E95" s="9"/>
      <c r="F95" s="33"/>
      <c r="G95" s="4"/>
      <c r="H95" s="4"/>
      <c r="I95" s="4"/>
      <c r="J95" s="337"/>
      <c r="K95" s="338"/>
      <c r="L95" s="338"/>
      <c r="M95" s="338"/>
      <c r="N95" s="338"/>
      <c r="O95" s="339"/>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row>
    <row r="96" spans="1:59" s="25" customFormat="1" ht="14.25">
      <c r="A96" s="19" t="s">
        <v>1416</v>
      </c>
      <c r="B96" s="24" t="s">
        <v>323</v>
      </c>
      <c r="C96" s="13" t="s">
        <v>29</v>
      </c>
      <c r="D96" s="10">
        <f>ROUND(D87/0.8*9,0)</f>
        <v>6903</v>
      </c>
      <c r="E96" s="36"/>
      <c r="F96" s="4"/>
      <c r="G96" s="4"/>
      <c r="H96" s="4"/>
      <c r="I96" s="4"/>
      <c r="J96" s="337"/>
      <c r="K96" s="338"/>
      <c r="L96" s="338"/>
      <c r="M96" s="338"/>
      <c r="N96" s="338"/>
      <c r="O96" s="339"/>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row>
    <row r="97" spans="1:27" s="25" customFormat="1" ht="14.25">
      <c r="A97" s="106">
        <v>20</v>
      </c>
      <c r="B97" s="49" t="s">
        <v>78</v>
      </c>
      <c r="C97" s="13" t="s">
        <v>42</v>
      </c>
      <c r="D97" s="9">
        <f>D90</f>
        <v>793.98</v>
      </c>
      <c r="E97" s="33"/>
      <c r="F97" s="40"/>
      <c r="G97" s="4"/>
      <c r="H97" s="4"/>
      <c r="I97" s="4"/>
      <c r="J97" s="337"/>
      <c r="K97" s="338"/>
      <c r="L97" s="338"/>
      <c r="M97" s="338"/>
      <c r="N97" s="338"/>
      <c r="O97" s="339"/>
    </row>
    <row r="98" spans="1:27" s="25" customFormat="1" ht="14.25">
      <c r="A98" s="19" t="s">
        <v>1417</v>
      </c>
      <c r="B98" s="118" t="s">
        <v>128</v>
      </c>
      <c r="C98" s="116" t="s">
        <v>40</v>
      </c>
      <c r="D98" s="120">
        <f>ROUND(D97*0.075,2)</f>
        <v>59.55</v>
      </c>
      <c r="E98" s="4"/>
      <c r="F98" s="123"/>
      <c r="G98" s="112"/>
      <c r="H98" s="4"/>
      <c r="I98" s="112"/>
      <c r="J98" s="337"/>
      <c r="K98" s="338"/>
      <c r="L98" s="338"/>
      <c r="M98" s="338"/>
      <c r="N98" s="338"/>
      <c r="O98" s="339"/>
    </row>
    <row r="99" spans="1:27" s="124" customFormat="1" ht="12" customHeight="1">
      <c r="A99" s="106">
        <v>21</v>
      </c>
      <c r="B99" s="223" t="s">
        <v>179</v>
      </c>
      <c r="C99" s="139" t="s">
        <v>14</v>
      </c>
      <c r="D99" s="9">
        <v>2404</v>
      </c>
      <c r="E99" s="4"/>
      <c r="F99" s="40"/>
      <c r="G99" s="4"/>
      <c r="H99" s="4"/>
      <c r="I99" s="112"/>
      <c r="J99" s="337"/>
      <c r="K99" s="338"/>
      <c r="L99" s="338"/>
      <c r="M99" s="338"/>
      <c r="N99" s="338"/>
      <c r="O99" s="339"/>
      <c r="P99" s="162"/>
      <c r="Q99" s="163"/>
      <c r="R99" s="125"/>
      <c r="S99" s="125"/>
      <c r="T99" s="126"/>
      <c r="U99" s="126"/>
      <c r="V99" s="126"/>
      <c r="W99" s="126"/>
      <c r="X99" s="126"/>
      <c r="Y99" s="126"/>
    </row>
    <row r="100" spans="1:27" s="124" customFormat="1" ht="24.75" thickBot="1">
      <c r="A100" s="19" t="s">
        <v>1418</v>
      </c>
      <c r="B100" s="118" t="s">
        <v>127</v>
      </c>
      <c r="C100" s="116" t="s">
        <v>38</v>
      </c>
      <c r="D100" s="122">
        <f>ROUND(D99*4,1)</f>
        <v>9616</v>
      </c>
      <c r="E100" s="4"/>
      <c r="F100" s="123"/>
      <c r="G100" s="112"/>
      <c r="H100" s="4"/>
      <c r="I100" s="112"/>
      <c r="J100" s="337"/>
      <c r="K100" s="338"/>
      <c r="L100" s="338"/>
      <c r="M100" s="338"/>
      <c r="N100" s="338"/>
      <c r="O100" s="339"/>
      <c r="P100" s="162"/>
      <c r="Q100" s="163"/>
      <c r="R100" s="125"/>
      <c r="S100" s="125"/>
      <c r="T100" s="126"/>
      <c r="U100" s="126"/>
      <c r="V100" s="126"/>
      <c r="W100" s="126"/>
      <c r="X100" s="126"/>
      <c r="Y100" s="126"/>
    </row>
    <row r="101" spans="1:27" s="102" customFormat="1" ht="15.75" thickTop="1" thickBot="1">
      <c r="A101" s="181"/>
      <c r="B101" s="400" t="s">
        <v>1587</v>
      </c>
      <c r="C101" s="401"/>
      <c r="D101" s="401"/>
      <c r="E101" s="401"/>
      <c r="F101" s="401"/>
      <c r="G101" s="401"/>
      <c r="H101" s="401"/>
      <c r="I101" s="401"/>
      <c r="J101" s="402"/>
      <c r="K101" s="182"/>
      <c r="L101" s="182"/>
      <c r="M101" s="182"/>
      <c r="N101" s="182"/>
      <c r="O101" s="183"/>
      <c r="P101" s="25"/>
      <c r="Q101" s="25"/>
      <c r="R101" s="25"/>
      <c r="S101" s="25"/>
      <c r="T101" s="25"/>
      <c r="U101" s="25"/>
      <c r="V101" s="25"/>
      <c r="W101" s="25"/>
      <c r="X101" s="25"/>
      <c r="Y101" s="25"/>
      <c r="Z101" s="25"/>
      <c r="AA101" s="25"/>
    </row>
    <row r="102" spans="1:27" s="102" customFormat="1" ht="15" thickTop="1">
      <c r="B102" s="172"/>
      <c r="P102" s="25"/>
      <c r="Q102" s="25"/>
      <c r="R102" s="25"/>
      <c r="S102" s="25"/>
      <c r="T102" s="25"/>
      <c r="U102" s="25"/>
      <c r="V102" s="25"/>
      <c r="W102" s="25"/>
      <c r="X102" s="25"/>
      <c r="Y102" s="25"/>
      <c r="Z102" s="25"/>
      <c r="AA102" s="25"/>
    </row>
    <row r="103" spans="1:27" s="102" customFormat="1" ht="14.25">
      <c r="B103" s="184"/>
      <c r="P103" s="25"/>
      <c r="Q103" s="25"/>
      <c r="R103" s="25"/>
      <c r="S103" s="25"/>
      <c r="T103" s="25"/>
      <c r="U103" s="25"/>
      <c r="V103" s="25"/>
      <c r="W103" s="25"/>
      <c r="X103" s="25"/>
      <c r="Y103" s="25"/>
      <c r="Z103" s="25"/>
      <c r="AA103" s="25"/>
    </row>
    <row r="104" spans="1:27" s="102" customFormat="1" ht="14.25">
      <c r="A104" s="117"/>
      <c r="B104" s="172" t="s">
        <v>209</v>
      </c>
      <c r="C104" s="117"/>
      <c r="D104" s="117"/>
      <c r="E104" s="117"/>
      <c r="F104" s="117"/>
      <c r="G104" s="117"/>
      <c r="H104" s="117"/>
      <c r="P104" s="25"/>
      <c r="Q104" s="25"/>
      <c r="R104" s="25"/>
      <c r="S104" s="25"/>
      <c r="T104" s="25"/>
      <c r="U104" s="25"/>
      <c r="V104" s="25"/>
      <c r="W104" s="25"/>
      <c r="X104" s="25"/>
      <c r="Y104" s="25"/>
      <c r="Z104" s="25"/>
      <c r="AA104" s="25"/>
    </row>
    <row r="105" spans="1:27" s="102" customFormat="1" ht="14.25">
      <c r="A105" s="117"/>
      <c r="B105" s="172"/>
      <c r="C105" s="117"/>
      <c r="D105" s="117"/>
      <c r="E105" s="117"/>
      <c r="F105" s="117"/>
      <c r="G105" s="117"/>
      <c r="H105" s="117"/>
      <c r="P105" s="25"/>
      <c r="Q105" s="25"/>
      <c r="R105" s="25"/>
      <c r="S105" s="25"/>
      <c r="T105" s="25"/>
      <c r="U105" s="25"/>
      <c r="V105" s="25"/>
      <c r="W105" s="25"/>
      <c r="X105" s="25"/>
      <c r="Y105" s="25"/>
      <c r="Z105" s="25"/>
      <c r="AA105" s="25"/>
    </row>
    <row r="106" spans="1:27" s="102" customFormat="1" ht="14.25">
      <c r="B106" s="92">
        <f ca="1">TODAY()</f>
        <v>43206</v>
      </c>
      <c r="P106" s="25"/>
      <c r="Q106" s="25"/>
      <c r="R106" s="25"/>
      <c r="S106" s="25"/>
      <c r="T106" s="25"/>
      <c r="U106" s="25"/>
      <c r="V106" s="25"/>
      <c r="W106" s="25"/>
      <c r="X106" s="25"/>
      <c r="Y106" s="25"/>
      <c r="Z106" s="25"/>
      <c r="AA106" s="25"/>
    </row>
    <row r="107" spans="1:27" s="102" customFormat="1" ht="14.25">
      <c r="A107" s="117"/>
      <c r="B107" s="117"/>
      <c r="C107" s="117"/>
      <c r="D107" s="117"/>
      <c r="E107" s="117"/>
      <c r="F107" s="117"/>
      <c r="G107" s="117"/>
      <c r="H107" s="117"/>
      <c r="I107" s="117"/>
      <c r="J107" s="117"/>
      <c r="K107" s="117"/>
      <c r="L107" s="117"/>
      <c r="M107" s="117"/>
      <c r="N107" s="117"/>
      <c r="O107" s="117"/>
      <c r="P107" s="25"/>
      <c r="Q107" s="25"/>
      <c r="R107" s="25"/>
      <c r="S107" s="25"/>
      <c r="T107" s="25"/>
      <c r="U107" s="25"/>
      <c r="V107" s="25"/>
      <c r="W107" s="25"/>
      <c r="X107" s="25"/>
      <c r="Y107" s="25"/>
      <c r="Z107" s="25"/>
      <c r="AA107" s="25"/>
    </row>
    <row r="108" spans="1:27" s="102" customFormat="1" ht="14.25">
      <c r="A108" s="117"/>
      <c r="B108" s="117" t="s">
        <v>1358</v>
      </c>
      <c r="C108" s="117"/>
      <c r="D108" s="117"/>
      <c r="E108" s="117"/>
      <c r="F108" s="117"/>
      <c r="G108" s="117"/>
      <c r="H108" s="117"/>
      <c r="I108" s="117"/>
      <c r="J108" s="117"/>
      <c r="K108" s="117"/>
      <c r="L108" s="117"/>
      <c r="M108" s="117"/>
      <c r="N108" s="117"/>
      <c r="O108" s="117"/>
      <c r="P108" s="25"/>
      <c r="Q108" s="25"/>
      <c r="R108" s="25"/>
      <c r="S108" s="25"/>
      <c r="T108" s="25"/>
      <c r="U108" s="25"/>
      <c r="V108" s="25"/>
      <c r="W108" s="25"/>
      <c r="X108" s="25"/>
      <c r="Y108" s="25"/>
      <c r="Z108" s="25"/>
      <c r="AA108" s="25"/>
    </row>
    <row r="109" spans="1:27">
      <c r="B109" s="117" t="s">
        <v>1359</v>
      </c>
      <c r="P109" s="133"/>
      <c r="Q109" s="133"/>
      <c r="R109" s="133"/>
      <c r="S109" s="133"/>
      <c r="T109" s="133"/>
      <c r="U109" s="133"/>
      <c r="V109" s="133"/>
      <c r="W109" s="133"/>
      <c r="X109" s="133"/>
      <c r="Y109" s="133"/>
      <c r="Z109" s="133"/>
      <c r="AA109" s="133"/>
    </row>
    <row r="110" spans="1:27">
      <c r="B110" s="117" t="s">
        <v>1361</v>
      </c>
    </row>
  </sheetData>
  <autoFilter ref="B1:B364"/>
  <mergeCells count="22">
    <mergeCell ref="B101:J101"/>
    <mergeCell ref="K8:K11"/>
    <mergeCell ref="L8:L11"/>
    <mergeCell ref="M8:M11"/>
    <mergeCell ref="N8:N11"/>
    <mergeCell ref="I8:I11"/>
    <mergeCell ref="O8:O1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36"/>
  <sheetViews>
    <sheetView workbookViewId="0">
      <selection activeCell="F31" sqref="F31"/>
    </sheetView>
  </sheetViews>
  <sheetFormatPr defaultColWidth="9.140625" defaultRowHeight="12.75"/>
  <cols>
    <col min="1" max="1" width="6.5703125" style="117" customWidth="1"/>
    <col min="2" max="2" width="35.5703125" style="117" customWidth="1"/>
    <col min="3" max="3" width="6.7109375" style="117" customWidth="1"/>
    <col min="4" max="4" width="7.140625" style="117" customWidth="1"/>
    <col min="5" max="9" width="8.28515625" style="117" customWidth="1"/>
    <col min="10" max="10" width="8.7109375" style="117" customWidth="1"/>
    <col min="11" max="11" width="9.28515625" style="117" customWidth="1"/>
    <col min="12" max="12" width="9.7109375" style="117" customWidth="1"/>
    <col min="13" max="13" width="10.7109375" style="117" customWidth="1"/>
    <col min="14" max="14" width="9.7109375" style="117" customWidth="1"/>
    <col min="15" max="15" width="11.28515625" style="117" customWidth="1"/>
    <col min="16" max="16384" width="9.140625" style="117"/>
  </cols>
  <sheetData>
    <row r="1" spans="1:15" s="102" customFormat="1" ht="14.25">
      <c r="A1" s="396" t="s">
        <v>185</v>
      </c>
      <c r="B1" s="396"/>
      <c r="C1" s="396"/>
      <c r="D1" s="396"/>
      <c r="E1" s="396"/>
      <c r="F1" s="396"/>
      <c r="G1" s="396"/>
      <c r="H1" s="396"/>
      <c r="I1" s="396"/>
      <c r="J1" s="396"/>
      <c r="K1" s="396"/>
      <c r="L1" s="396"/>
      <c r="M1" s="396"/>
      <c r="N1" s="396"/>
      <c r="O1" s="396"/>
    </row>
    <row r="2" spans="1:15" s="102" customFormat="1" ht="14.25">
      <c r="A2" s="397" t="str">
        <f>Kopsavilkums!C16</f>
        <v>Ēkas karkass</v>
      </c>
      <c r="B2" s="397"/>
      <c r="C2" s="397"/>
      <c r="D2" s="397"/>
      <c r="E2" s="397"/>
      <c r="F2" s="397"/>
      <c r="G2" s="397"/>
      <c r="H2" s="397"/>
      <c r="I2" s="397"/>
      <c r="J2" s="397"/>
      <c r="K2" s="397"/>
      <c r="L2" s="397"/>
      <c r="M2" s="397"/>
      <c r="N2" s="397"/>
      <c r="O2" s="397"/>
    </row>
    <row r="3" spans="1:15" s="102" customFormat="1" ht="14.25">
      <c r="A3" s="115" t="s">
        <v>1246</v>
      </c>
      <c r="B3" s="177"/>
      <c r="C3" s="177"/>
      <c r="D3" s="177"/>
      <c r="E3" s="177"/>
      <c r="F3" s="177"/>
      <c r="G3" s="177"/>
      <c r="H3" s="177"/>
      <c r="I3" s="177"/>
      <c r="J3" s="177"/>
      <c r="K3" s="177"/>
      <c r="L3" s="177"/>
      <c r="M3" s="177"/>
      <c r="N3" s="177"/>
      <c r="O3" s="177"/>
    </row>
    <row r="4" spans="1:15" s="102" customFormat="1" ht="14.25">
      <c r="A4" s="115" t="s">
        <v>307</v>
      </c>
      <c r="B4" s="177"/>
      <c r="C4" s="177"/>
      <c r="D4" s="177"/>
      <c r="E4" s="177"/>
      <c r="F4" s="177"/>
      <c r="G4" s="177"/>
      <c r="H4" s="177"/>
      <c r="I4" s="177"/>
      <c r="J4" s="177"/>
      <c r="K4" s="177"/>
      <c r="L4" s="177"/>
      <c r="M4" s="177"/>
      <c r="N4" s="177"/>
      <c r="O4" s="177"/>
    </row>
    <row r="5" spans="1:15" s="102" customFormat="1" ht="14.25">
      <c r="A5" s="115" t="s">
        <v>306</v>
      </c>
      <c r="B5" s="177"/>
      <c r="C5" s="177"/>
      <c r="D5" s="177"/>
      <c r="E5" s="177"/>
      <c r="F5" s="177"/>
      <c r="G5" s="177"/>
      <c r="H5" s="177"/>
      <c r="I5" s="177"/>
      <c r="J5" s="177"/>
      <c r="K5" s="177"/>
      <c r="L5" s="177"/>
      <c r="M5" s="177"/>
      <c r="N5" s="177"/>
      <c r="O5" s="177"/>
    </row>
    <row r="6" spans="1:15" ht="13.5" thickBot="1">
      <c r="E6" s="133"/>
      <c r="F6" s="133"/>
      <c r="G6" s="133"/>
      <c r="H6" s="133"/>
      <c r="I6" s="133"/>
      <c r="J6" s="398" t="s">
        <v>13</v>
      </c>
      <c r="K6" s="398"/>
      <c r="L6" s="398"/>
      <c r="M6" s="398"/>
      <c r="N6" s="399" t="e">
        <f>#REF!</f>
        <v>#REF!</v>
      </c>
      <c r="O6" s="399"/>
    </row>
    <row r="7" spans="1:15" s="133" customFormat="1" ht="12.75" customHeight="1">
      <c r="A7" s="378" t="s">
        <v>27</v>
      </c>
      <c r="B7" s="381" t="s">
        <v>28</v>
      </c>
      <c r="C7" s="381" t="s">
        <v>17</v>
      </c>
      <c r="D7" s="381" t="s">
        <v>19</v>
      </c>
      <c r="E7" s="390" t="s">
        <v>15</v>
      </c>
      <c r="F7" s="391"/>
      <c r="G7" s="391"/>
      <c r="H7" s="391"/>
      <c r="I7" s="391"/>
      <c r="J7" s="392"/>
      <c r="K7" s="390" t="s">
        <v>16</v>
      </c>
      <c r="L7" s="391"/>
      <c r="M7" s="391"/>
      <c r="N7" s="391"/>
      <c r="O7" s="393"/>
    </row>
    <row r="8" spans="1:15"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5" s="133" customFormat="1">
      <c r="A9" s="379"/>
      <c r="B9" s="382"/>
      <c r="C9" s="382"/>
      <c r="D9" s="382"/>
      <c r="E9" s="394"/>
      <c r="F9" s="376"/>
      <c r="G9" s="376"/>
      <c r="H9" s="376"/>
      <c r="I9" s="376"/>
      <c r="J9" s="373"/>
      <c r="K9" s="376"/>
      <c r="L9" s="376"/>
      <c r="M9" s="376"/>
      <c r="N9" s="376"/>
      <c r="O9" s="385"/>
    </row>
    <row r="10" spans="1:15" s="133" customFormat="1">
      <c r="A10" s="379"/>
      <c r="B10" s="382"/>
      <c r="C10" s="382"/>
      <c r="D10" s="382"/>
      <c r="E10" s="394"/>
      <c r="F10" s="376"/>
      <c r="G10" s="376"/>
      <c r="H10" s="376"/>
      <c r="I10" s="376"/>
      <c r="J10" s="373"/>
      <c r="K10" s="376"/>
      <c r="L10" s="376"/>
      <c r="M10" s="376"/>
      <c r="N10" s="376"/>
      <c r="O10" s="385"/>
    </row>
    <row r="11" spans="1:15" s="133" customFormat="1" ht="13.5" thickBot="1">
      <c r="A11" s="380"/>
      <c r="B11" s="383"/>
      <c r="C11" s="383"/>
      <c r="D11" s="383"/>
      <c r="E11" s="395"/>
      <c r="F11" s="377"/>
      <c r="G11" s="377"/>
      <c r="H11" s="377"/>
      <c r="I11" s="377"/>
      <c r="J11" s="374"/>
      <c r="K11" s="377"/>
      <c r="L11" s="377"/>
      <c r="M11" s="377"/>
      <c r="N11" s="377"/>
      <c r="O11" s="386"/>
    </row>
    <row r="12" spans="1:15" s="133" customFormat="1" ht="14.25" thickTop="1" thickBot="1">
      <c r="A12" s="52">
        <v>1</v>
      </c>
      <c r="B12" s="53">
        <v>2</v>
      </c>
      <c r="C12" s="53">
        <v>3</v>
      </c>
      <c r="D12" s="53">
        <v>4</v>
      </c>
      <c r="E12" s="53">
        <v>5</v>
      </c>
      <c r="F12" s="53">
        <v>6</v>
      </c>
      <c r="G12" s="53">
        <v>7</v>
      </c>
      <c r="H12" s="53">
        <v>8</v>
      </c>
      <c r="I12" s="53">
        <v>9</v>
      </c>
      <c r="J12" s="54">
        <v>10</v>
      </c>
      <c r="K12" s="53">
        <v>11</v>
      </c>
      <c r="L12" s="54">
        <v>12</v>
      </c>
      <c r="M12" s="53">
        <v>13</v>
      </c>
      <c r="N12" s="54">
        <v>14</v>
      </c>
      <c r="O12" s="55">
        <v>15</v>
      </c>
    </row>
    <row r="13" spans="1:15" s="25" customFormat="1" ht="15" thickTop="1">
      <c r="A13" s="106"/>
      <c r="B13" s="180" t="s">
        <v>158</v>
      </c>
      <c r="C13" s="13"/>
      <c r="D13" s="9"/>
      <c r="E13" s="33"/>
      <c r="F13" s="33"/>
      <c r="G13" s="4"/>
      <c r="H13" s="4"/>
      <c r="I13" s="4"/>
      <c r="J13" s="4"/>
      <c r="K13" s="4"/>
      <c r="L13" s="4"/>
      <c r="M13" s="4"/>
      <c r="N13" s="4"/>
      <c r="O13" s="20"/>
    </row>
    <row r="14" spans="1:15" s="38" customFormat="1" ht="36">
      <c r="A14" s="106">
        <f t="shared" ref="A14:A17" si="0">A13+1</f>
        <v>1</v>
      </c>
      <c r="B14" s="306" t="s">
        <v>358</v>
      </c>
      <c r="C14" s="13" t="s">
        <v>39</v>
      </c>
      <c r="D14" s="161">
        <f>97.4359-18.6408</f>
        <v>78.795100000000005</v>
      </c>
      <c r="E14" s="4"/>
      <c r="F14" s="4"/>
      <c r="G14" s="4"/>
      <c r="H14" s="4"/>
      <c r="I14" s="4"/>
      <c r="J14" s="337"/>
      <c r="K14" s="338"/>
      <c r="L14" s="338"/>
      <c r="M14" s="338"/>
      <c r="N14" s="338"/>
      <c r="O14" s="339"/>
    </row>
    <row r="15" spans="1:15" s="25" customFormat="1" ht="14.25">
      <c r="A15" s="106"/>
      <c r="B15" s="180" t="s">
        <v>315</v>
      </c>
      <c r="C15" s="13"/>
      <c r="D15" s="9"/>
      <c r="E15" s="33"/>
      <c r="F15" s="33"/>
      <c r="G15" s="4"/>
      <c r="H15" s="4"/>
      <c r="I15" s="4"/>
      <c r="J15" s="4"/>
      <c r="K15" s="4"/>
      <c r="L15" s="4"/>
      <c r="M15" s="4"/>
      <c r="N15" s="4"/>
      <c r="O15" s="20"/>
    </row>
    <row r="16" spans="1:15" s="102" customFormat="1" ht="14.25">
      <c r="A16" s="106">
        <v>2</v>
      </c>
      <c r="B16" s="2" t="s">
        <v>233</v>
      </c>
      <c r="C16" s="111" t="s">
        <v>14</v>
      </c>
      <c r="D16" s="120">
        <v>1907</v>
      </c>
      <c r="E16" s="153"/>
      <c r="F16" s="4"/>
      <c r="G16" s="4"/>
      <c r="H16" s="4"/>
      <c r="I16" s="16"/>
      <c r="J16" s="4"/>
      <c r="K16" s="4"/>
      <c r="L16" s="4"/>
      <c r="M16" s="4"/>
      <c r="N16" s="4"/>
      <c r="O16" s="20"/>
    </row>
    <row r="17" spans="1:26" s="18" customFormat="1" ht="14.25">
      <c r="A17" s="106">
        <f t="shared" si="0"/>
        <v>3</v>
      </c>
      <c r="B17" s="2" t="s">
        <v>1136</v>
      </c>
      <c r="C17" s="116" t="s">
        <v>14</v>
      </c>
      <c r="D17" s="14">
        <f>D16</f>
        <v>1907</v>
      </c>
      <c r="E17" s="132"/>
      <c r="F17" s="33"/>
      <c r="G17" s="4"/>
      <c r="H17" s="34"/>
      <c r="I17" s="4"/>
      <c r="J17" s="337"/>
      <c r="K17" s="338"/>
      <c r="L17" s="338"/>
      <c r="M17" s="338"/>
      <c r="N17" s="338"/>
      <c r="O17" s="339"/>
    </row>
    <row r="18" spans="1:26" s="25" customFormat="1" ht="14.25">
      <c r="A18" s="19" t="s">
        <v>1376</v>
      </c>
      <c r="B18" s="21" t="s">
        <v>234</v>
      </c>
      <c r="C18" s="13" t="s">
        <v>42</v>
      </c>
      <c r="D18" s="14">
        <f>ROUND(SQRT(D17)/1*SQRT(D17)*1.1,1)</f>
        <v>2097.6999999999998</v>
      </c>
      <c r="E18" s="33"/>
      <c r="F18" s="33"/>
      <c r="G18" s="33"/>
      <c r="H18" s="4"/>
      <c r="I18" s="4"/>
      <c r="J18" s="337"/>
      <c r="K18" s="338"/>
      <c r="L18" s="338"/>
      <c r="M18" s="338"/>
      <c r="N18" s="338"/>
      <c r="O18" s="339"/>
    </row>
    <row r="19" spans="1:26" s="25" customFormat="1" ht="14.25">
      <c r="A19" s="19" t="s">
        <v>1377</v>
      </c>
      <c r="B19" s="24" t="s">
        <v>235</v>
      </c>
      <c r="C19" s="13" t="s">
        <v>30</v>
      </c>
      <c r="D19" s="10">
        <v>1</v>
      </c>
      <c r="E19" s="36"/>
      <c r="F19" s="36"/>
      <c r="G19" s="33"/>
      <c r="H19" s="4"/>
      <c r="I19" s="4"/>
      <c r="J19" s="337"/>
      <c r="K19" s="338"/>
      <c r="L19" s="338"/>
      <c r="M19" s="338"/>
      <c r="N19" s="338"/>
      <c r="O19" s="339"/>
    </row>
    <row r="20" spans="1:26" s="25" customFormat="1" ht="14.25">
      <c r="A20" s="106">
        <v>4</v>
      </c>
      <c r="B20" s="173" t="s">
        <v>236</v>
      </c>
      <c r="C20" s="116" t="s">
        <v>14</v>
      </c>
      <c r="D20" s="14">
        <v>1803</v>
      </c>
      <c r="E20" s="11"/>
      <c r="F20" s="33"/>
      <c r="G20" s="4"/>
      <c r="H20" s="11"/>
      <c r="I20" s="4"/>
      <c r="J20" s="337"/>
      <c r="K20" s="338"/>
      <c r="L20" s="338"/>
      <c r="M20" s="338"/>
      <c r="N20" s="338"/>
      <c r="O20" s="339"/>
    </row>
    <row r="21" spans="1:26" s="25" customFormat="1" ht="24">
      <c r="A21" s="19" t="s">
        <v>1419</v>
      </c>
      <c r="B21" s="21" t="s">
        <v>1143</v>
      </c>
      <c r="C21" s="13" t="s">
        <v>14</v>
      </c>
      <c r="D21" s="9">
        <f>ROUND(D20*1.125,2)</f>
        <v>2028.38</v>
      </c>
      <c r="E21" s="33"/>
      <c r="F21" s="33"/>
      <c r="G21" s="33"/>
      <c r="H21" s="4"/>
      <c r="I21" s="4"/>
      <c r="J21" s="337"/>
      <c r="K21" s="338"/>
      <c r="L21" s="338"/>
      <c r="M21" s="338"/>
      <c r="N21" s="338"/>
      <c r="O21" s="339"/>
    </row>
    <row r="22" spans="1:26" s="25" customFormat="1" ht="14.25">
      <c r="A22" s="19" t="s">
        <v>1420</v>
      </c>
      <c r="B22" s="24" t="s">
        <v>235</v>
      </c>
      <c r="C22" s="13" t="s">
        <v>30</v>
      </c>
      <c r="D22" s="10">
        <v>1</v>
      </c>
      <c r="E22" s="36"/>
      <c r="F22" s="36"/>
      <c r="G22" s="33"/>
      <c r="H22" s="4"/>
      <c r="I22" s="4"/>
      <c r="J22" s="337"/>
      <c r="K22" s="338"/>
      <c r="L22" s="338"/>
      <c r="M22" s="338"/>
      <c r="N22" s="338"/>
      <c r="O22" s="339"/>
    </row>
    <row r="23" spans="1:26" s="25" customFormat="1" ht="14.25">
      <c r="A23" s="106">
        <v>5</v>
      </c>
      <c r="B23" s="173" t="s">
        <v>359</v>
      </c>
      <c r="C23" s="116" t="s">
        <v>14</v>
      </c>
      <c r="D23" s="14">
        <v>104</v>
      </c>
      <c r="E23" s="11"/>
      <c r="F23" s="33"/>
      <c r="G23" s="4"/>
      <c r="H23" s="11"/>
      <c r="I23" s="4"/>
      <c r="J23" s="337"/>
      <c r="K23" s="338"/>
      <c r="L23" s="338"/>
      <c r="M23" s="338"/>
      <c r="N23" s="338"/>
      <c r="O23" s="339"/>
    </row>
    <row r="24" spans="1:26" s="25" customFormat="1" ht="24">
      <c r="A24" s="19" t="s">
        <v>1369</v>
      </c>
      <c r="B24" s="21" t="s">
        <v>360</v>
      </c>
      <c r="C24" s="13" t="s">
        <v>14</v>
      </c>
      <c r="D24" s="9">
        <f>ROUND(D23*1.05,2)</f>
        <v>109.2</v>
      </c>
      <c r="E24" s="33"/>
      <c r="F24" s="33"/>
      <c r="G24" s="33"/>
      <c r="H24" s="4"/>
      <c r="I24" s="4"/>
      <c r="J24" s="337"/>
      <c r="K24" s="338"/>
      <c r="L24" s="338"/>
      <c r="M24" s="338"/>
      <c r="N24" s="338"/>
      <c r="O24" s="339"/>
    </row>
    <row r="25" spans="1:26" s="25" customFormat="1" ht="14.25">
      <c r="A25" s="19" t="s">
        <v>1379</v>
      </c>
      <c r="B25" s="24" t="s">
        <v>235</v>
      </c>
      <c r="C25" s="13" t="s">
        <v>30</v>
      </c>
      <c r="D25" s="10">
        <v>1</v>
      </c>
      <c r="E25" s="36"/>
      <c r="F25" s="36"/>
      <c r="G25" s="33"/>
      <c r="H25" s="4"/>
      <c r="I25" s="4"/>
      <c r="J25" s="337"/>
      <c r="K25" s="338"/>
      <c r="L25" s="338"/>
      <c r="M25" s="338"/>
      <c r="N25" s="338"/>
      <c r="O25" s="339"/>
    </row>
    <row r="26" spans="1:26" s="102" customFormat="1" ht="24">
      <c r="A26" s="106">
        <v>6</v>
      </c>
      <c r="B26" s="114" t="s">
        <v>160</v>
      </c>
      <c r="C26" s="17" t="s">
        <v>14</v>
      </c>
      <c r="D26" s="14">
        <f>ROUND(D16/2,1)</f>
        <v>953.5</v>
      </c>
      <c r="E26" s="16"/>
      <c r="F26" s="33"/>
      <c r="G26" s="4"/>
      <c r="H26" s="16"/>
      <c r="I26" s="4"/>
      <c r="J26" s="337"/>
      <c r="K26" s="338"/>
      <c r="L26" s="338"/>
      <c r="M26" s="338"/>
      <c r="N26" s="338"/>
      <c r="O26" s="339"/>
    </row>
    <row r="27" spans="1:26" s="102" customFormat="1" ht="15" thickBot="1">
      <c r="A27" s="19" t="s">
        <v>1382</v>
      </c>
      <c r="B27" s="121" t="s">
        <v>212</v>
      </c>
      <c r="C27" s="17" t="s">
        <v>14</v>
      </c>
      <c r="D27" s="14">
        <f>D26</f>
        <v>953.5</v>
      </c>
      <c r="E27" s="40"/>
      <c r="F27" s="40"/>
      <c r="G27" s="16"/>
      <c r="H27" s="16"/>
      <c r="I27" s="16"/>
      <c r="J27" s="337"/>
      <c r="K27" s="338"/>
      <c r="L27" s="338"/>
      <c r="M27" s="338"/>
      <c r="N27" s="338"/>
      <c r="O27" s="339"/>
    </row>
    <row r="28" spans="1:26" s="102" customFormat="1" ht="15.75" thickTop="1" thickBot="1">
      <c r="A28" s="181"/>
      <c r="B28" s="400" t="s">
        <v>1587</v>
      </c>
      <c r="C28" s="401"/>
      <c r="D28" s="401"/>
      <c r="E28" s="401"/>
      <c r="F28" s="401"/>
      <c r="G28" s="401"/>
      <c r="H28" s="401"/>
      <c r="I28" s="401"/>
      <c r="J28" s="402"/>
      <c r="K28" s="182"/>
      <c r="L28" s="182"/>
      <c r="M28" s="182"/>
      <c r="N28" s="182"/>
      <c r="O28" s="183"/>
      <c r="P28" s="25"/>
      <c r="Q28" s="25"/>
      <c r="R28" s="25"/>
      <c r="S28" s="25"/>
      <c r="T28" s="25"/>
      <c r="U28" s="25"/>
      <c r="V28" s="25"/>
      <c r="W28" s="25"/>
      <c r="X28" s="25"/>
      <c r="Y28" s="25"/>
      <c r="Z28" s="25"/>
    </row>
    <row r="29" spans="1:26" s="102" customFormat="1" ht="15" thickTop="1">
      <c r="B29" s="200"/>
      <c r="P29" s="25"/>
      <c r="Q29" s="25"/>
      <c r="R29" s="25"/>
      <c r="S29" s="25"/>
      <c r="T29" s="25"/>
      <c r="U29" s="25"/>
      <c r="V29" s="25"/>
      <c r="W29" s="25"/>
      <c r="X29" s="25"/>
      <c r="Y29" s="25"/>
      <c r="Z29" s="25"/>
    </row>
    <row r="30" spans="1:26" s="102" customFormat="1" ht="14.25">
      <c r="B30" s="184"/>
      <c r="P30" s="25"/>
      <c r="Q30" s="25"/>
      <c r="R30" s="25"/>
      <c r="S30" s="25"/>
      <c r="T30" s="25"/>
      <c r="U30" s="25"/>
      <c r="V30" s="25"/>
      <c r="W30" s="25"/>
      <c r="X30" s="25"/>
      <c r="Y30" s="25"/>
      <c r="Z30" s="25"/>
    </row>
    <row r="31" spans="1:26" s="102" customFormat="1" ht="14.25">
      <c r="A31" s="117"/>
      <c r="B31" s="172" t="s">
        <v>209</v>
      </c>
      <c r="C31" s="117"/>
      <c r="D31" s="117"/>
      <c r="E31" s="117"/>
      <c r="F31" s="117"/>
      <c r="G31" s="117"/>
      <c r="H31" s="117"/>
      <c r="P31" s="25"/>
      <c r="Q31" s="25"/>
      <c r="R31" s="25"/>
      <c r="S31" s="25"/>
      <c r="T31" s="25"/>
      <c r="U31" s="25"/>
      <c r="V31" s="25"/>
      <c r="W31" s="25"/>
      <c r="X31" s="25"/>
      <c r="Y31" s="25"/>
      <c r="Z31" s="25"/>
    </row>
    <row r="32" spans="1:26" s="102" customFormat="1" ht="14.25">
      <c r="A32" s="117"/>
      <c r="B32" s="172"/>
      <c r="C32" s="117"/>
      <c r="D32" s="117"/>
      <c r="E32" s="117"/>
      <c r="F32" s="117"/>
      <c r="G32" s="117"/>
      <c r="H32" s="117"/>
      <c r="P32" s="25"/>
      <c r="Q32" s="25"/>
      <c r="R32" s="25"/>
      <c r="S32" s="25"/>
      <c r="T32" s="25"/>
      <c r="U32" s="25"/>
      <c r="V32" s="25"/>
      <c r="W32" s="25"/>
      <c r="X32" s="25"/>
      <c r="Y32" s="25"/>
      <c r="Z32" s="25"/>
    </row>
    <row r="33" spans="1:26" s="102" customFormat="1" ht="14.25">
      <c r="B33" s="92">
        <f ca="1">TODAY()</f>
        <v>43206</v>
      </c>
      <c r="P33" s="25"/>
      <c r="Q33" s="25"/>
      <c r="R33" s="25"/>
      <c r="S33" s="25"/>
      <c r="T33" s="25"/>
      <c r="U33" s="25"/>
      <c r="V33" s="25"/>
      <c r="W33" s="25"/>
      <c r="X33" s="25"/>
      <c r="Y33" s="25"/>
      <c r="Z33" s="25"/>
    </row>
    <row r="34" spans="1:26" s="102" customFormat="1" ht="14.25">
      <c r="A34" s="117"/>
      <c r="B34" s="117"/>
      <c r="C34" s="117"/>
      <c r="D34" s="117"/>
      <c r="E34" s="117"/>
      <c r="F34" s="117"/>
      <c r="G34" s="117"/>
      <c r="H34" s="117"/>
      <c r="I34" s="117"/>
      <c r="J34" s="117"/>
      <c r="K34" s="117"/>
      <c r="L34" s="117"/>
      <c r="M34" s="117"/>
      <c r="N34" s="117"/>
      <c r="O34" s="117"/>
      <c r="P34" s="25"/>
      <c r="Q34" s="25"/>
      <c r="R34" s="25"/>
      <c r="S34" s="25"/>
      <c r="T34" s="25"/>
      <c r="U34" s="25"/>
      <c r="V34" s="25"/>
      <c r="W34" s="25"/>
      <c r="X34" s="25"/>
      <c r="Y34" s="25"/>
      <c r="Z34" s="25"/>
    </row>
    <row r="35" spans="1:26" s="102" customFormat="1" ht="14.25">
      <c r="A35" s="117"/>
      <c r="B35" s="117"/>
      <c r="C35" s="117"/>
      <c r="D35" s="117"/>
      <c r="E35" s="117"/>
      <c r="F35" s="117"/>
      <c r="G35" s="117"/>
      <c r="H35" s="117"/>
      <c r="I35" s="117"/>
      <c r="J35" s="117"/>
      <c r="K35" s="117"/>
      <c r="L35" s="117"/>
      <c r="M35" s="117"/>
      <c r="N35" s="117"/>
      <c r="O35" s="117"/>
      <c r="P35" s="25"/>
      <c r="Q35" s="25"/>
      <c r="R35" s="25"/>
      <c r="S35" s="25"/>
      <c r="T35" s="25"/>
      <c r="U35" s="25"/>
      <c r="V35" s="25"/>
      <c r="W35" s="25"/>
      <c r="X35" s="25"/>
      <c r="Y35" s="25"/>
      <c r="Z35" s="25"/>
    </row>
    <row r="36" spans="1:26">
      <c r="P36" s="133"/>
      <c r="Q36" s="133"/>
      <c r="R36" s="133"/>
      <c r="S36" s="133"/>
      <c r="T36" s="133"/>
      <c r="U36" s="133"/>
      <c r="V36" s="133"/>
      <c r="W36" s="133"/>
      <c r="X36" s="133"/>
      <c r="Y36" s="133"/>
      <c r="Z36" s="133"/>
    </row>
  </sheetData>
  <autoFilter ref="C1:C34"/>
  <mergeCells count="22">
    <mergeCell ref="B28:J28"/>
    <mergeCell ref="A1:O1"/>
    <mergeCell ref="A2:O2"/>
    <mergeCell ref="J6:M6"/>
    <mergeCell ref="N6:O6"/>
    <mergeCell ref="A7:A11"/>
    <mergeCell ref="B7:B11"/>
    <mergeCell ref="C7:C11"/>
    <mergeCell ref="D7:D11"/>
    <mergeCell ref="E7:J7"/>
    <mergeCell ref="K7:O7"/>
    <mergeCell ref="E8:E11"/>
    <mergeCell ref="F8:F11"/>
    <mergeCell ref="G8:G11"/>
    <mergeCell ref="H8:H11"/>
    <mergeCell ref="O8:O11"/>
    <mergeCell ref="I8:I11"/>
    <mergeCell ref="K8:K11"/>
    <mergeCell ref="L8:L11"/>
    <mergeCell ref="M8:M11"/>
    <mergeCell ref="N8:N11"/>
    <mergeCell ref="J8:J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H194"/>
  <sheetViews>
    <sheetView topLeftCell="A19" zoomScaleNormal="100" workbookViewId="0">
      <selection activeCell="M47" sqref="M47"/>
    </sheetView>
  </sheetViews>
  <sheetFormatPr defaultColWidth="9.140625" defaultRowHeight="12.75"/>
  <cols>
    <col min="1" max="1" width="6.5703125" style="117" customWidth="1"/>
    <col min="2" max="2" width="35.5703125" style="117" customWidth="1"/>
    <col min="3" max="3" width="6.7109375" style="117" customWidth="1"/>
    <col min="4" max="4" width="7.140625" style="117" customWidth="1"/>
    <col min="5" max="9" width="8.28515625" style="117" customWidth="1"/>
    <col min="10" max="10" width="9.7109375" style="117" customWidth="1"/>
    <col min="11" max="12" width="9.28515625" style="117" customWidth="1"/>
    <col min="13" max="13" width="9.7109375" style="117" customWidth="1"/>
    <col min="14" max="14" width="9.28515625" style="117" customWidth="1"/>
    <col min="15" max="15" width="11.28515625" style="117" customWidth="1"/>
    <col min="16" max="16" width="11.7109375" style="117" bestFit="1" customWidth="1"/>
    <col min="17" max="16384" width="9.140625" style="117"/>
  </cols>
  <sheetData>
    <row r="1" spans="1:16" s="102" customFormat="1" ht="14.25">
      <c r="A1" s="396" t="s">
        <v>186</v>
      </c>
      <c r="B1" s="396"/>
      <c r="C1" s="396"/>
      <c r="D1" s="396"/>
      <c r="E1" s="396"/>
      <c r="F1" s="396"/>
      <c r="G1" s="396"/>
      <c r="H1" s="396"/>
      <c r="I1" s="396"/>
      <c r="J1" s="396"/>
      <c r="K1" s="396"/>
      <c r="L1" s="396"/>
      <c r="M1" s="396"/>
      <c r="N1" s="396"/>
      <c r="O1" s="396"/>
    </row>
    <row r="2" spans="1:16" s="102" customFormat="1" ht="14.25">
      <c r="A2" s="397" t="str">
        <f>Kopsavilkums!C17</f>
        <v>Jumts</v>
      </c>
      <c r="B2" s="397"/>
      <c r="C2" s="397"/>
      <c r="D2" s="397"/>
      <c r="E2" s="397"/>
      <c r="F2" s="397"/>
      <c r="G2" s="397"/>
      <c r="H2" s="397"/>
      <c r="I2" s="397"/>
      <c r="J2" s="397"/>
      <c r="K2" s="397"/>
      <c r="L2" s="397"/>
      <c r="M2" s="397"/>
      <c r="N2" s="397"/>
      <c r="O2" s="397"/>
    </row>
    <row r="3" spans="1:16" s="102" customFormat="1" ht="14.25">
      <c r="A3" s="115" t="s">
        <v>1246</v>
      </c>
      <c r="B3" s="177"/>
      <c r="C3" s="177"/>
      <c r="D3" s="177"/>
      <c r="E3" s="177"/>
      <c r="F3" s="177"/>
      <c r="G3" s="177"/>
      <c r="H3" s="177"/>
      <c r="I3" s="177"/>
      <c r="J3" s="177"/>
      <c r="K3" s="177"/>
      <c r="L3" s="177"/>
      <c r="M3" s="177"/>
      <c r="N3" s="177"/>
      <c r="O3" s="177"/>
    </row>
    <row r="4" spans="1:16" s="102" customFormat="1" ht="14.25">
      <c r="A4" s="115" t="s">
        <v>307</v>
      </c>
      <c r="B4" s="177"/>
      <c r="C4" s="177"/>
      <c r="D4" s="177"/>
      <c r="E4" s="177"/>
      <c r="F4" s="177"/>
      <c r="G4" s="177"/>
      <c r="H4" s="177"/>
      <c r="I4" s="177"/>
      <c r="J4" s="177"/>
      <c r="K4" s="177"/>
      <c r="L4" s="177"/>
      <c r="M4" s="177"/>
      <c r="N4" s="177"/>
      <c r="O4" s="177"/>
    </row>
    <row r="5" spans="1:16" s="102" customFormat="1" ht="14.25">
      <c r="A5" s="115" t="s">
        <v>306</v>
      </c>
      <c r="B5" s="177"/>
      <c r="C5" s="177"/>
      <c r="D5" s="177"/>
      <c r="E5" s="177"/>
      <c r="F5" s="177"/>
      <c r="G5" s="177"/>
      <c r="H5" s="177"/>
      <c r="I5" s="177"/>
      <c r="J5" s="177"/>
      <c r="K5" s="177"/>
      <c r="L5" s="177"/>
      <c r="M5" s="177"/>
      <c r="N5" s="177"/>
      <c r="O5" s="177"/>
    </row>
    <row r="6" spans="1:16" ht="13.5" thickBot="1">
      <c r="E6" s="133"/>
      <c r="F6" s="133"/>
      <c r="G6" s="133"/>
      <c r="H6" s="133"/>
      <c r="I6" s="133"/>
      <c r="J6" s="403" t="s">
        <v>13</v>
      </c>
      <c r="K6" s="403"/>
      <c r="L6" s="403"/>
      <c r="M6" s="403"/>
      <c r="N6" s="404" t="e">
        <f>#REF!</f>
        <v>#REF!</v>
      </c>
      <c r="O6" s="404"/>
    </row>
    <row r="7" spans="1:16" s="133" customFormat="1" ht="12.75" customHeight="1">
      <c r="A7" s="378" t="s">
        <v>27</v>
      </c>
      <c r="B7" s="381" t="s">
        <v>28</v>
      </c>
      <c r="C7" s="381" t="s">
        <v>17</v>
      </c>
      <c r="D7" s="381" t="s">
        <v>19</v>
      </c>
      <c r="E7" s="390" t="s">
        <v>15</v>
      </c>
      <c r="F7" s="391"/>
      <c r="G7" s="391"/>
      <c r="H7" s="391"/>
      <c r="I7" s="391"/>
      <c r="J7" s="392"/>
      <c r="K7" s="390" t="s">
        <v>16</v>
      </c>
      <c r="L7" s="391"/>
      <c r="M7" s="391"/>
      <c r="N7" s="391"/>
      <c r="O7" s="393"/>
    </row>
    <row r="8" spans="1:16"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6" s="133" customFormat="1">
      <c r="A9" s="379"/>
      <c r="B9" s="382"/>
      <c r="C9" s="382"/>
      <c r="D9" s="382"/>
      <c r="E9" s="394"/>
      <c r="F9" s="376"/>
      <c r="G9" s="376"/>
      <c r="H9" s="376"/>
      <c r="I9" s="376"/>
      <c r="J9" s="373"/>
      <c r="K9" s="376"/>
      <c r="L9" s="376"/>
      <c r="M9" s="376"/>
      <c r="N9" s="376"/>
      <c r="O9" s="385"/>
    </row>
    <row r="10" spans="1:16" s="133" customFormat="1" ht="13.5" thickBot="1">
      <c r="A10" s="380"/>
      <c r="B10" s="383"/>
      <c r="C10" s="383"/>
      <c r="D10" s="383"/>
      <c r="E10" s="395"/>
      <c r="F10" s="377"/>
      <c r="G10" s="377"/>
      <c r="H10" s="377"/>
      <c r="I10" s="377"/>
      <c r="J10" s="374"/>
      <c r="K10" s="377"/>
      <c r="L10" s="377"/>
      <c r="M10" s="377"/>
      <c r="N10" s="377"/>
      <c r="O10" s="386"/>
    </row>
    <row r="11" spans="1:16" s="133" customFormat="1" ht="14.25" thickTop="1" thickBot="1">
      <c r="A11" s="52">
        <v>1</v>
      </c>
      <c r="B11" s="53">
        <v>2</v>
      </c>
      <c r="C11" s="53">
        <v>3</v>
      </c>
      <c r="D11" s="53">
        <v>4</v>
      </c>
      <c r="E11" s="53">
        <v>5</v>
      </c>
      <c r="F11" s="53">
        <v>6</v>
      </c>
      <c r="G11" s="53">
        <v>7</v>
      </c>
      <c r="H11" s="53">
        <v>8</v>
      </c>
      <c r="I11" s="53">
        <v>9</v>
      </c>
      <c r="J11" s="54">
        <v>10</v>
      </c>
      <c r="K11" s="53">
        <v>11</v>
      </c>
      <c r="L11" s="54">
        <v>12</v>
      </c>
      <c r="M11" s="53">
        <v>13</v>
      </c>
      <c r="N11" s="54">
        <v>14</v>
      </c>
      <c r="O11" s="55">
        <v>15</v>
      </c>
    </row>
    <row r="12" spans="1:16" s="25" customFormat="1" ht="15" thickTop="1">
      <c r="A12" s="106"/>
      <c r="B12" s="180" t="s">
        <v>1235</v>
      </c>
      <c r="C12" s="13"/>
      <c r="D12" s="9"/>
      <c r="E12" s="33"/>
      <c r="F12" s="33"/>
      <c r="G12" s="4"/>
      <c r="H12" s="4"/>
      <c r="I12" s="4"/>
      <c r="J12" s="4"/>
      <c r="K12" s="4"/>
      <c r="L12" s="4"/>
      <c r="M12" s="4"/>
      <c r="N12" s="4"/>
      <c r="O12" s="20"/>
      <c r="P12" s="117"/>
    </row>
    <row r="13" spans="1:16" s="18" customFormat="1" ht="14.25">
      <c r="A13" s="106">
        <f t="shared" ref="A13" si="0">A12+1</f>
        <v>1</v>
      </c>
      <c r="B13" s="2" t="s">
        <v>1162</v>
      </c>
      <c r="C13" s="116" t="s">
        <v>14</v>
      </c>
      <c r="D13" s="9">
        <v>2521</v>
      </c>
      <c r="E13" s="132"/>
      <c r="F13" s="33"/>
      <c r="G13" s="4"/>
      <c r="H13" s="34"/>
      <c r="I13" s="4"/>
      <c r="J13" s="337"/>
      <c r="K13" s="338"/>
      <c r="L13" s="338"/>
      <c r="M13" s="338"/>
      <c r="N13" s="338"/>
      <c r="O13" s="339"/>
    </row>
    <row r="14" spans="1:16" s="25" customFormat="1" ht="14.25">
      <c r="A14" s="19" t="s">
        <v>72</v>
      </c>
      <c r="B14" s="21" t="s">
        <v>1226</v>
      </c>
      <c r="C14" s="13" t="s">
        <v>42</v>
      </c>
      <c r="D14" s="14">
        <f>ROUND(2160*1.1,1)</f>
        <v>2376</v>
      </c>
      <c r="E14" s="33"/>
      <c r="F14" s="33"/>
      <c r="G14" s="33"/>
      <c r="H14" s="4"/>
      <c r="I14" s="4"/>
      <c r="J14" s="337"/>
      <c r="K14" s="338"/>
      <c r="L14" s="338"/>
      <c r="M14" s="338"/>
      <c r="N14" s="338"/>
      <c r="O14" s="339"/>
    </row>
    <row r="15" spans="1:16" s="25" customFormat="1" ht="14.25">
      <c r="A15" s="19" t="s">
        <v>73</v>
      </c>
      <c r="B15" s="24" t="s">
        <v>235</v>
      </c>
      <c r="C15" s="13" t="s">
        <v>30</v>
      </c>
      <c r="D15" s="10">
        <v>1</v>
      </c>
      <c r="E15" s="36"/>
      <c r="F15" s="36"/>
      <c r="G15" s="33"/>
      <c r="H15" s="4"/>
      <c r="I15" s="4"/>
      <c r="J15" s="337"/>
      <c r="K15" s="338"/>
      <c r="L15" s="338"/>
      <c r="M15" s="338"/>
      <c r="N15" s="338"/>
      <c r="O15" s="339"/>
    </row>
    <row r="16" spans="1:16" s="25" customFormat="1" ht="14.25">
      <c r="A16" s="106">
        <v>2</v>
      </c>
      <c r="B16" s="49" t="s">
        <v>1159</v>
      </c>
      <c r="C16" s="13" t="s">
        <v>14</v>
      </c>
      <c r="D16" s="9">
        <v>2521</v>
      </c>
      <c r="E16" s="33"/>
      <c r="F16" s="4"/>
      <c r="G16" s="4"/>
      <c r="H16" s="34"/>
      <c r="I16" s="4"/>
      <c r="J16" s="337"/>
      <c r="K16" s="338"/>
      <c r="L16" s="338"/>
      <c r="M16" s="338"/>
      <c r="N16" s="338"/>
      <c r="O16" s="339"/>
    </row>
    <row r="17" spans="1:56" s="25" customFormat="1" ht="24">
      <c r="A17" s="19" t="s">
        <v>1372</v>
      </c>
      <c r="B17" s="21" t="s">
        <v>1160</v>
      </c>
      <c r="C17" s="99" t="s">
        <v>14</v>
      </c>
      <c r="D17" s="100">
        <f>ROUND(D16*1.15,2)</f>
        <v>2899.15</v>
      </c>
      <c r="E17" s="4"/>
      <c r="F17" s="4"/>
      <c r="G17" s="4"/>
      <c r="H17" s="4"/>
      <c r="I17" s="4"/>
      <c r="J17" s="337"/>
      <c r="K17" s="338"/>
      <c r="L17" s="338"/>
      <c r="M17" s="338"/>
      <c r="N17" s="338"/>
      <c r="O17" s="339"/>
    </row>
    <row r="18" spans="1:56">
      <c r="A18" s="106">
        <v>3</v>
      </c>
      <c r="B18" s="2" t="s">
        <v>1161</v>
      </c>
      <c r="C18" s="116" t="s">
        <v>14</v>
      </c>
      <c r="D18" s="9">
        <f>D13</f>
        <v>2521</v>
      </c>
      <c r="E18" s="33"/>
      <c r="F18" s="4"/>
      <c r="G18" s="4"/>
      <c r="H18" s="112"/>
      <c r="I18" s="112"/>
      <c r="J18" s="337"/>
      <c r="K18" s="338"/>
      <c r="L18" s="338"/>
      <c r="M18" s="338"/>
      <c r="N18" s="338"/>
      <c r="O18" s="339"/>
    </row>
    <row r="19" spans="1:56" s="25" customFormat="1" ht="24">
      <c r="A19" s="19" t="s">
        <v>1376</v>
      </c>
      <c r="B19" s="21" t="s">
        <v>1240</v>
      </c>
      <c r="C19" s="116" t="s">
        <v>14</v>
      </c>
      <c r="D19" s="9">
        <f>D18</f>
        <v>2521</v>
      </c>
      <c r="E19" s="36"/>
      <c r="F19" s="4"/>
      <c r="G19" s="4"/>
      <c r="H19" s="4"/>
      <c r="I19" s="4"/>
      <c r="J19" s="337"/>
      <c r="K19" s="338"/>
      <c r="L19" s="338"/>
      <c r="M19" s="338"/>
      <c r="N19" s="338"/>
      <c r="O19" s="339"/>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row>
    <row r="20" spans="1:56" s="25" customFormat="1" ht="24.95" customHeight="1">
      <c r="A20" s="19" t="s">
        <v>1377</v>
      </c>
      <c r="B20" s="21" t="s">
        <v>164</v>
      </c>
      <c r="C20" s="13" t="s">
        <v>21</v>
      </c>
      <c r="D20" s="14">
        <v>5</v>
      </c>
      <c r="E20" s="36"/>
      <c r="F20" s="36"/>
      <c r="G20" s="33"/>
      <c r="H20" s="4"/>
      <c r="I20" s="4"/>
      <c r="J20" s="337"/>
      <c r="K20" s="338"/>
      <c r="L20" s="338"/>
      <c r="M20" s="338"/>
      <c r="N20" s="338"/>
      <c r="O20" s="339"/>
    </row>
    <row r="21" spans="1:56" s="94" customFormat="1">
      <c r="A21" s="106">
        <v>4</v>
      </c>
      <c r="B21" s="49" t="s">
        <v>361</v>
      </c>
      <c r="C21" s="13" t="s">
        <v>14</v>
      </c>
      <c r="D21" s="290">
        <v>38</v>
      </c>
      <c r="E21" s="33"/>
      <c r="F21" s="4"/>
      <c r="G21" s="4"/>
      <c r="H21" s="34"/>
      <c r="I21" s="4"/>
      <c r="J21" s="337"/>
      <c r="K21" s="338"/>
      <c r="L21" s="338"/>
      <c r="M21" s="338"/>
      <c r="N21" s="338"/>
      <c r="O21" s="339"/>
      <c r="P21" s="156"/>
      <c r="Q21" s="157"/>
      <c r="R21" s="157"/>
    </row>
    <row r="22" spans="1:56" s="94" customFormat="1">
      <c r="A22" s="19" t="s">
        <v>1419</v>
      </c>
      <c r="B22" s="221" t="s">
        <v>362</v>
      </c>
      <c r="C22" s="13" t="s">
        <v>14</v>
      </c>
      <c r="D22" s="290">
        <f>ROUND(D21*1.15,2)</f>
        <v>43.7</v>
      </c>
      <c r="E22" s="107"/>
      <c r="F22" s="107"/>
      <c r="G22" s="108"/>
      <c r="H22" s="4"/>
      <c r="I22" s="4"/>
      <c r="J22" s="337"/>
      <c r="K22" s="338"/>
      <c r="L22" s="338"/>
      <c r="M22" s="338"/>
      <c r="N22" s="338"/>
      <c r="O22" s="339"/>
      <c r="P22" s="156"/>
      <c r="Q22" s="157"/>
      <c r="R22" s="157"/>
    </row>
    <row r="23" spans="1:56" s="94" customFormat="1">
      <c r="A23" s="19" t="s">
        <v>1420</v>
      </c>
      <c r="B23" s="154" t="s">
        <v>235</v>
      </c>
      <c r="C23" s="13" t="s">
        <v>30</v>
      </c>
      <c r="D23" s="155">
        <v>1</v>
      </c>
      <c r="E23" s="107"/>
      <c r="F23" s="107"/>
      <c r="G23" s="108"/>
      <c r="H23" s="108"/>
      <c r="I23" s="4"/>
      <c r="J23" s="337"/>
      <c r="K23" s="338"/>
      <c r="L23" s="338"/>
      <c r="M23" s="338"/>
      <c r="N23" s="338"/>
      <c r="O23" s="339"/>
      <c r="P23" s="156"/>
      <c r="Q23" s="157"/>
      <c r="R23" s="157"/>
    </row>
    <row r="24" spans="1:56" s="25" customFormat="1" ht="12.75" customHeight="1">
      <c r="A24" s="106">
        <v>5</v>
      </c>
      <c r="B24" s="49" t="s">
        <v>187</v>
      </c>
      <c r="C24" s="13" t="s">
        <v>42</v>
      </c>
      <c r="D24" s="14">
        <f>D26+D32</f>
        <v>380</v>
      </c>
      <c r="E24" s="11"/>
      <c r="F24" s="4"/>
      <c r="G24" s="4"/>
      <c r="H24" s="4"/>
      <c r="I24" s="4"/>
      <c r="J24" s="337"/>
      <c r="K24" s="338"/>
      <c r="L24" s="338"/>
      <c r="M24" s="338"/>
      <c r="N24" s="338"/>
      <c r="O24" s="339"/>
    </row>
    <row r="25" spans="1:56" s="25" customFormat="1" ht="12.75" customHeight="1">
      <c r="A25" s="19" t="s">
        <v>1369</v>
      </c>
      <c r="B25" s="24" t="s">
        <v>188</v>
      </c>
      <c r="C25" s="13" t="s">
        <v>29</v>
      </c>
      <c r="D25" s="10">
        <f>ROUND(D27/0.6+1,0)</f>
        <v>401</v>
      </c>
      <c r="E25" s="11"/>
      <c r="F25" s="4"/>
      <c r="G25" s="33"/>
      <c r="H25" s="11"/>
      <c r="I25" s="11"/>
      <c r="J25" s="337"/>
      <c r="K25" s="338"/>
      <c r="L25" s="338"/>
      <c r="M25" s="338"/>
      <c r="N25" s="338"/>
      <c r="O25" s="339"/>
    </row>
    <row r="26" spans="1:56" s="25" customFormat="1" ht="12.75" customHeight="1">
      <c r="A26" s="19" t="s">
        <v>1379</v>
      </c>
      <c r="B26" s="24" t="s">
        <v>189</v>
      </c>
      <c r="C26" s="13" t="s">
        <v>42</v>
      </c>
      <c r="D26" s="14">
        <v>240</v>
      </c>
      <c r="E26" s="11"/>
      <c r="F26" s="4"/>
      <c r="G26" s="33"/>
      <c r="H26" s="11"/>
      <c r="I26" s="11"/>
      <c r="J26" s="337"/>
      <c r="K26" s="338"/>
      <c r="L26" s="338"/>
      <c r="M26" s="338"/>
      <c r="N26" s="338"/>
      <c r="O26" s="339"/>
      <c r="P26" s="133"/>
    </row>
    <row r="27" spans="1:56" s="25" customFormat="1" ht="12.75" customHeight="1">
      <c r="A27" s="19" t="s">
        <v>1380</v>
      </c>
      <c r="B27" s="24" t="s">
        <v>190</v>
      </c>
      <c r="C27" s="13" t="s">
        <v>42</v>
      </c>
      <c r="D27" s="14">
        <f>D26</f>
        <v>240</v>
      </c>
      <c r="E27" s="11"/>
      <c r="F27" s="4"/>
      <c r="G27" s="33"/>
      <c r="H27" s="4"/>
      <c r="I27" s="11"/>
      <c r="J27" s="337"/>
      <c r="K27" s="338"/>
      <c r="L27" s="338"/>
      <c r="M27" s="338"/>
      <c r="N27" s="338"/>
      <c r="O27" s="339"/>
      <c r="P27" s="133"/>
    </row>
    <row r="28" spans="1:56" s="25" customFormat="1" ht="12.75" customHeight="1">
      <c r="A28" s="19" t="s">
        <v>1381</v>
      </c>
      <c r="B28" s="24" t="s">
        <v>191</v>
      </c>
      <c r="C28" s="13" t="s">
        <v>29</v>
      </c>
      <c r="D28" s="10">
        <v>20</v>
      </c>
      <c r="E28" s="11"/>
      <c r="F28" s="4"/>
      <c r="G28" s="33"/>
      <c r="H28" s="4"/>
      <c r="I28" s="11"/>
      <c r="J28" s="337"/>
      <c r="K28" s="338"/>
      <c r="L28" s="338"/>
      <c r="M28" s="338"/>
      <c r="N28" s="338"/>
      <c r="O28" s="339"/>
      <c r="P28" s="164"/>
      <c r="Q28" s="137"/>
    </row>
    <row r="29" spans="1:56" s="25" customFormat="1" ht="12.75" customHeight="1">
      <c r="A29" s="19" t="s">
        <v>1421</v>
      </c>
      <c r="B29" s="24" t="s">
        <v>192</v>
      </c>
      <c r="C29" s="13" t="s">
        <v>29</v>
      </c>
      <c r="D29" s="10">
        <f>ROUND(D32*0.76+1,0)</f>
        <v>107</v>
      </c>
      <c r="E29" s="11"/>
      <c r="F29" s="4"/>
      <c r="G29" s="33"/>
      <c r="H29" s="4"/>
      <c r="I29" s="11"/>
      <c r="J29" s="337"/>
      <c r="K29" s="338"/>
      <c r="L29" s="338"/>
      <c r="M29" s="338"/>
      <c r="N29" s="338"/>
      <c r="O29" s="339"/>
      <c r="P29" s="164"/>
      <c r="Q29" s="137"/>
    </row>
    <row r="30" spans="1:56" s="25" customFormat="1" ht="12.75" customHeight="1">
      <c r="A30" s="19" t="s">
        <v>1422</v>
      </c>
      <c r="B30" s="24" t="s">
        <v>193</v>
      </c>
      <c r="C30" s="13" t="s">
        <v>29</v>
      </c>
      <c r="D30" s="10">
        <v>20</v>
      </c>
      <c r="E30" s="11"/>
      <c r="F30" s="4"/>
      <c r="G30" s="33"/>
      <c r="H30" s="4"/>
      <c r="I30" s="11"/>
      <c r="J30" s="337"/>
      <c r="K30" s="338"/>
      <c r="L30" s="338"/>
      <c r="M30" s="338"/>
      <c r="N30" s="338"/>
      <c r="O30" s="339"/>
      <c r="P30" s="164"/>
      <c r="Q30" s="137"/>
    </row>
    <row r="31" spans="1:56" s="25" customFormat="1" ht="12.75" customHeight="1">
      <c r="A31" s="19" t="s">
        <v>1423</v>
      </c>
      <c r="B31" s="24" t="s">
        <v>194</v>
      </c>
      <c r="C31" s="13" t="s">
        <v>29</v>
      </c>
      <c r="D31" s="10">
        <v>40</v>
      </c>
      <c r="E31" s="11"/>
      <c r="F31" s="4"/>
      <c r="G31" s="33"/>
      <c r="H31" s="4"/>
      <c r="I31" s="11"/>
      <c r="J31" s="337"/>
      <c r="K31" s="338"/>
      <c r="L31" s="338"/>
      <c r="M31" s="338"/>
      <c r="N31" s="338"/>
      <c r="O31" s="339"/>
      <c r="P31" s="164"/>
      <c r="Q31" s="137"/>
    </row>
    <row r="32" spans="1:56" s="25" customFormat="1" ht="12.75" customHeight="1">
      <c r="A32" s="19" t="s">
        <v>1424</v>
      </c>
      <c r="B32" s="24" t="s">
        <v>195</v>
      </c>
      <c r="C32" s="13" t="s">
        <v>42</v>
      </c>
      <c r="D32" s="14">
        <v>140</v>
      </c>
      <c r="E32" s="11"/>
      <c r="F32" s="4"/>
      <c r="G32" s="33"/>
      <c r="H32" s="4"/>
      <c r="I32" s="11"/>
      <c r="J32" s="337"/>
      <c r="K32" s="338"/>
      <c r="L32" s="338"/>
      <c r="M32" s="338"/>
      <c r="N32" s="338"/>
      <c r="O32" s="339"/>
      <c r="P32" s="137"/>
      <c r="Q32" s="137"/>
    </row>
    <row r="33" spans="1:60" s="133" customFormat="1" ht="12.75" customHeight="1">
      <c r="A33" s="19" t="s">
        <v>1425</v>
      </c>
      <c r="B33" s="24" t="s">
        <v>196</v>
      </c>
      <c r="C33" s="13" t="s">
        <v>29</v>
      </c>
      <c r="D33" s="10">
        <f>ROUND(D24*6,0)</f>
        <v>2280</v>
      </c>
      <c r="E33" s="171"/>
      <c r="F33" s="4"/>
      <c r="G33" s="33"/>
      <c r="H33" s="11"/>
      <c r="I33" s="4"/>
      <c r="J33" s="337"/>
      <c r="K33" s="338"/>
      <c r="L33" s="338"/>
      <c r="M33" s="338"/>
      <c r="N33" s="338"/>
      <c r="O33" s="339"/>
      <c r="P33" s="164"/>
      <c r="Q33" s="164"/>
    </row>
    <row r="34" spans="1:60" s="133" customFormat="1" ht="12.75" customHeight="1">
      <c r="A34" s="19" t="s">
        <v>1426</v>
      </c>
      <c r="B34" s="24" t="s">
        <v>197</v>
      </c>
      <c r="C34" s="13" t="s">
        <v>41</v>
      </c>
      <c r="D34" s="14">
        <v>26</v>
      </c>
      <c r="E34" s="11"/>
      <c r="F34" s="11"/>
      <c r="G34" s="4"/>
      <c r="H34" s="4"/>
      <c r="I34" s="4"/>
      <c r="J34" s="337"/>
      <c r="K34" s="338"/>
      <c r="L34" s="338"/>
      <c r="M34" s="338"/>
      <c r="N34" s="338"/>
      <c r="O34" s="339"/>
      <c r="P34" s="164"/>
      <c r="Q34" s="164"/>
    </row>
    <row r="35" spans="1:60" ht="12.75" customHeight="1">
      <c r="A35" s="106">
        <v>6</v>
      </c>
      <c r="B35" s="147" t="s">
        <v>1232</v>
      </c>
      <c r="C35" s="13" t="s">
        <v>30</v>
      </c>
      <c r="D35" s="10">
        <v>2</v>
      </c>
      <c r="E35" s="9"/>
      <c r="F35" s="4"/>
      <c r="G35" s="4"/>
      <c r="H35" s="9"/>
      <c r="I35" s="4"/>
      <c r="J35" s="337"/>
      <c r="K35" s="338"/>
      <c r="L35" s="338"/>
      <c r="M35" s="338"/>
      <c r="N35" s="338"/>
      <c r="O35" s="339"/>
      <c r="P35" s="133"/>
      <c r="Q35" s="133"/>
      <c r="R35" s="133"/>
      <c r="S35" s="133"/>
      <c r="T35" s="133"/>
      <c r="U35" s="133"/>
      <c r="V35" s="133"/>
      <c r="W35" s="133"/>
      <c r="X35" s="133"/>
      <c r="Y35" s="133"/>
      <c r="Z35" s="133"/>
      <c r="AA35" s="133"/>
    </row>
    <row r="36" spans="1:60" s="94" customFormat="1" ht="12.75" customHeight="1">
      <c r="A36" s="19" t="s">
        <v>1382</v>
      </c>
      <c r="B36" s="221" t="s">
        <v>1139</v>
      </c>
      <c r="C36" s="13" t="s">
        <v>29</v>
      </c>
      <c r="D36" s="155">
        <v>4</v>
      </c>
      <c r="E36" s="107"/>
      <c r="F36" s="107"/>
      <c r="G36" s="108"/>
      <c r="H36" s="108"/>
      <c r="I36" s="4"/>
      <c r="J36" s="337"/>
      <c r="K36" s="338"/>
      <c r="L36" s="338"/>
      <c r="M36" s="338"/>
      <c r="N36" s="338"/>
      <c r="O36" s="339"/>
      <c r="P36" s="156"/>
      <c r="Q36" s="157"/>
      <c r="R36" s="157"/>
    </row>
    <row r="37" spans="1:60" s="94" customFormat="1" ht="12.75" customHeight="1">
      <c r="A37" s="19" t="s">
        <v>1383</v>
      </c>
      <c r="B37" s="221" t="s">
        <v>1233</v>
      </c>
      <c r="C37" s="13" t="s">
        <v>29</v>
      </c>
      <c r="D37" s="155">
        <v>2</v>
      </c>
      <c r="E37" s="107"/>
      <c r="F37" s="107"/>
      <c r="G37" s="108"/>
      <c r="H37" s="108"/>
      <c r="I37" s="4"/>
      <c r="J37" s="337"/>
      <c r="K37" s="338"/>
      <c r="L37" s="338"/>
      <c r="M37" s="338"/>
      <c r="N37" s="338"/>
      <c r="O37" s="339"/>
      <c r="P37" s="156"/>
      <c r="Q37" s="157"/>
      <c r="R37" s="157"/>
    </row>
    <row r="38" spans="1:60" s="94" customFormat="1" ht="12.75" customHeight="1">
      <c r="A38" s="19" t="s">
        <v>1384</v>
      </c>
      <c r="B38" s="221" t="s">
        <v>1140</v>
      </c>
      <c r="C38" s="13" t="s">
        <v>29</v>
      </c>
      <c r="D38" s="10">
        <v>2</v>
      </c>
      <c r="E38" s="107"/>
      <c r="F38" s="107"/>
      <c r="G38" s="108"/>
      <c r="H38" s="108"/>
      <c r="I38" s="4"/>
      <c r="J38" s="337"/>
      <c r="K38" s="338"/>
      <c r="L38" s="338"/>
      <c r="M38" s="338"/>
      <c r="N38" s="338"/>
      <c r="O38" s="339"/>
      <c r="P38" s="156"/>
      <c r="Q38" s="157"/>
      <c r="R38" s="157"/>
    </row>
    <row r="39" spans="1:60" s="94" customFormat="1" ht="12.75" customHeight="1">
      <c r="A39" s="19" t="s">
        <v>1385</v>
      </c>
      <c r="B39" s="221" t="s">
        <v>166</v>
      </c>
      <c r="C39" s="13" t="s">
        <v>30</v>
      </c>
      <c r="D39" s="155">
        <v>2</v>
      </c>
      <c r="E39" s="107"/>
      <c r="F39" s="107"/>
      <c r="G39" s="108"/>
      <c r="H39" s="108"/>
      <c r="I39" s="4"/>
      <c r="J39" s="337"/>
      <c r="K39" s="338"/>
      <c r="L39" s="338"/>
      <c r="M39" s="338"/>
      <c r="N39" s="338"/>
      <c r="O39" s="339"/>
      <c r="P39" s="156"/>
      <c r="Q39" s="157"/>
      <c r="R39" s="157"/>
    </row>
    <row r="40" spans="1:60" s="25" customFormat="1" ht="12.75" customHeight="1">
      <c r="A40" s="106">
        <v>7</v>
      </c>
      <c r="B40" s="49" t="s">
        <v>1137</v>
      </c>
      <c r="C40" s="13" t="s">
        <v>42</v>
      </c>
      <c r="D40" s="14">
        <v>6</v>
      </c>
      <c r="E40" s="11"/>
      <c r="F40" s="4"/>
      <c r="G40" s="4"/>
      <c r="H40" s="4"/>
      <c r="I40" s="4"/>
      <c r="J40" s="337"/>
      <c r="K40" s="338"/>
      <c r="L40" s="338"/>
      <c r="M40" s="338"/>
      <c r="N40" s="338"/>
      <c r="O40" s="339"/>
    </row>
    <row r="41" spans="1:60" s="25" customFormat="1" ht="24">
      <c r="A41" s="19" t="s">
        <v>268</v>
      </c>
      <c r="B41" s="21" t="s">
        <v>1234</v>
      </c>
      <c r="C41" s="13" t="s">
        <v>29</v>
      </c>
      <c r="D41" s="155">
        <v>4</v>
      </c>
      <c r="E41" s="153"/>
      <c r="F41" s="33"/>
      <c r="G41" s="4"/>
      <c r="H41" s="4"/>
      <c r="I41" s="4"/>
      <c r="J41" s="337"/>
      <c r="K41" s="338"/>
      <c r="L41" s="338"/>
      <c r="M41" s="338"/>
      <c r="N41" s="338"/>
      <c r="O41" s="339"/>
    </row>
    <row r="42" spans="1:60" s="26" customFormat="1" ht="24">
      <c r="A42" s="19" t="s">
        <v>269</v>
      </c>
      <c r="B42" s="21" t="s">
        <v>1142</v>
      </c>
      <c r="C42" s="13" t="s">
        <v>29</v>
      </c>
      <c r="D42" s="155">
        <v>4</v>
      </c>
      <c r="E42" s="325"/>
      <c r="F42" s="33"/>
      <c r="G42" s="6"/>
      <c r="H42" s="11"/>
      <c r="I42" s="5"/>
      <c r="J42" s="337"/>
      <c r="K42" s="338"/>
      <c r="L42" s="338"/>
      <c r="M42" s="338"/>
      <c r="N42" s="338"/>
      <c r="O42" s="339"/>
    </row>
    <row r="43" spans="1:60" s="18" customFormat="1" ht="14.25">
      <c r="A43" s="19" t="s">
        <v>270</v>
      </c>
      <c r="B43" s="24" t="s">
        <v>1138</v>
      </c>
      <c r="C43" s="292" t="s">
        <v>30</v>
      </c>
      <c r="D43" s="326">
        <v>1</v>
      </c>
      <c r="E43" s="36"/>
      <c r="F43" s="36"/>
      <c r="G43" s="33"/>
      <c r="H43" s="11"/>
      <c r="I43" s="4"/>
      <c r="J43" s="337"/>
      <c r="K43" s="338"/>
      <c r="L43" s="338"/>
      <c r="M43" s="338"/>
      <c r="N43" s="338"/>
      <c r="O43" s="339"/>
    </row>
    <row r="44" spans="1:60" s="25" customFormat="1" ht="12.75" customHeight="1" thickBot="1">
      <c r="A44" s="106">
        <v>8</v>
      </c>
      <c r="B44" s="49" t="s">
        <v>33</v>
      </c>
      <c r="C44" s="17" t="s">
        <v>34</v>
      </c>
      <c r="D44" s="14">
        <v>8</v>
      </c>
      <c r="E44" s="40"/>
      <c r="F44" s="40"/>
      <c r="G44" s="16"/>
      <c r="H44" s="16"/>
      <c r="I44" s="16"/>
      <c r="J44" s="4"/>
      <c r="K44" s="4"/>
      <c r="L44" s="4"/>
      <c r="M44" s="4"/>
      <c r="N44" s="4"/>
      <c r="O44" s="20"/>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row>
    <row r="45" spans="1:60" s="102" customFormat="1" ht="15.75" thickTop="1" thickBot="1">
      <c r="A45" s="181"/>
      <c r="B45" s="400" t="s">
        <v>1587</v>
      </c>
      <c r="C45" s="401"/>
      <c r="D45" s="401"/>
      <c r="E45" s="401"/>
      <c r="F45" s="401"/>
      <c r="G45" s="401"/>
      <c r="H45" s="401"/>
      <c r="I45" s="401"/>
      <c r="J45" s="402"/>
      <c r="K45" s="182"/>
      <c r="L45" s="182"/>
      <c r="M45" s="182"/>
      <c r="N45" s="182"/>
      <c r="O45" s="183"/>
      <c r="P45" s="25"/>
      <c r="Q45" s="25"/>
      <c r="R45" s="25"/>
      <c r="S45" s="25"/>
      <c r="T45" s="25"/>
      <c r="U45" s="25"/>
      <c r="V45" s="25"/>
      <c r="W45" s="25"/>
      <c r="X45" s="25"/>
      <c r="Y45" s="25"/>
      <c r="Z45" s="25"/>
      <c r="AA45" s="25"/>
      <c r="AB45" s="25"/>
    </row>
    <row r="46" spans="1:60" s="102" customFormat="1" ht="15" thickTop="1">
      <c r="B46" s="200"/>
      <c r="P46" s="25"/>
      <c r="Q46" s="25"/>
      <c r="R46" s="25"/>
      <c r="S46" s="25"/>
      <c r="T46" s="25"/>
      <c r="U46" s="25"/>
      <c r="V46" s="25"/>
      <c r="W46" s="25"/>
      <c r="X46" s="25"/>
      <c r="Y46" s="25"/>
      <c r="Z46" s="25"/>
      <c r="AA46" s="25"/>
      <c r="AB46" s="25"/>
    </row>
    <row r="47" spans="1:60" s="102" customFormat="1" ht="14.25">
      <c r="B47" s="184"/>
      <c r="P47" s="25"/>
      <c r="Q47" s="25"/>
      <c r="R47" s="25"/>
      <c r="S47" s="25"/>
      <c r="T47" s="25"/>
      <c r="U47" s="25"/>
      <c r="V47" s="25"/>
      <c r="W47" s="25"/>
      <c r="X47" s="25"/>
      <c r="Y47" s="25"/>
      <c r="Z47" s="25"/>
      <c r="AA47" s="25"/>
      <c r="AB47" s="25"/>
    </row>
    <row r="48" spans="1:60" s="102" customFormat="1" ht="14.25">
      <c r="A48" s="117"/>
      <c r="B48" s="172" t="s">
        <v>209</v>
      </c>
      <c r="C48" s="117"/>
      <c r="D48" s="117"/>
      <c r="E48" s="117"/>
      <c r="F48" s="117"/>
      <c r="G48" s="117"/>
      <c r="H48" s="117"/>
      <c r="P48" s="25"/>
      <c r="Q48" s="25"/>
      <c r="R48" s="25"/>
      <c r="S48" s="25"/>
      <c r="T48" s="25"/>
      <c r="U48" s="25"/>
      <c r="V48" s="25"/>
      <c r="W48" s="25"/>
      <c r="X48" s="25"/>
      <c r="Y48" s="25"/>
      <c r="Z48" s="25"/>
      <c r="AA48" s="25"/>
      <c r="AB48" s="25"/>
    </row>
    <row r="49" spans="1:28" s="102" customFormat="1" ht="14.25">
      <c r="A49" s="117"/>
      <c r="B49" s="172"/>
      <c r="C49" s="117"/>
      <c r="D49" s="117"/>
      <c r="E49" s="117"/>
      <c r="F49" s="117"/>
      <c r="G49" s="117"/>
      <c r="H49" s="117"/>
      <c r="P49" s="25"/>
      <c r="Q49" s="25"/>
      <c r="R49" s="25"/>
      <c r="S49" s="25"/>
      <c r="T49" s="25"/>
      <c r="U49" s="25"/>
      <c r="V49" s="25"/>
      <c r="W49" s="25"/>
      <c r="X49" s="25"/>
      <c r="Y49" s="25"/>
      <c r="Z49" s="25"/>
      <c r="AA49" s="25"/>
      <c r="AB49" s="25"/>
    </row>
    <row r="50" spans="1:28" s="102" customFormat="1" ht="14.25">
      <c r="B50" s="92">
        <f ca="1">TODAY()</f>
        <v>43206</v>
      </c>
      <c r="C50" s="144"/>
      <c r="P50" s="25"/>
      <c r="Q50" s="25"/>
      <c r="R50" s="25"/>
      <c r="S50" s="25"/>
      <c r="T50" s="25"/>
      <c r="U50" s="25"/>
      <c r="V50" s="25"/>
      <c r="W50" s="25"/>
      <c r="X50" s="25"/>
      <c r="Y50" s="25"/>
      <c r="Z50" s="25"/>
      <c r="AA50" s="25"/>
      <c r="AB50" s="25"/>
    </row>
    <row r="51" spans="1:28" s="102" customFormat="1" ht="14.25">
      <c r="P51" s="25"/>
      <c r="Q51" s="25"/>
      <c r="R51" s="25"/>
      <c r="S51" s="25"/>
      <c r="T51" s="25"/>
      <c r="U51" s="25"/>
      <c r="V51" s="25"/>
      <c r="W51" s="25"/>
      <c r="X51" s="25"/>
      <c r="Y51" s="25"/>
      <c r="Z51" s="25"/>
      <c r="AA51" s="25"/>
      <c r="AB51" s="25"/>
    </row>
    <row r="52" spans="1:28" s="102" customFormat="1" ht="14.25">
      <c r="A52" s="117"/>
      <c r="B52" s="117"/>
      <c r="C52" s="117"/>
      <c r="D52" s="117"/>
      <c r="E52" s="117"/>
      <c r="F52" s="117"/>
      <c r="G52" s="117"/>
      <c r="H52" s="117"/>
      <c r="I52" s="117"/>
      <c r="J52" s="117"/>
      <c r="K52" s="117"/>
      <c r="L52" s="117"/>
      <c r="M52" s="117"/>
      <c r="N52" s="117"/>
      <c r="O52" s="117"/>
      <c r="P52" s="25"/>
      <c r="Q52" s="25"/>
      <c r="R52" s="25"/>
      <c r="S52" s="25"/>
      <c r="T52" s="25"/>
      <c r="U52" s="25"/>
      <c r="V52" s="25"/>
      <c r="W52" s="25"/>
      <c r="X52" s="25"/>
      <c r="Y52" s="25"/>
      <c r="Z52" s="25"/>
      <c r="AA52" s="25"/>
      <c r="AB52" s="25"/>
    </row>
    <row r="53" spans="1:28" s="102" customFormat="1" ht="14.25">
      <c r="A53" s="117"/>
      <c r="B53" s="117"/>
      <c r="C53" s="117"/>
      <c r="D53" s="117"/>
      <c r="E53" s="117"/>
      <c r="F53" s="117"/>
      <c r="G53" s="117"/>
      <c r="H53" s="117"/>
      <c r="I53" s="117"/>
      <c r="J53" s="117"/>
      <c r="K53" s="117"/>
      <c r="L53" s="117"/>
      <c r="M53" s="117"/>
      <c r="N53" s="117"/>
      <c r="O53" s="117"/>
      <c r="P53" s="25"/>
      <c r="Q53" s="25"/>
      <c r="R53" s="25"/>
      <c r="S53" s="25"/>
      <c r="T53" s="25"/>
      <c r="U53" s="25"/>
      <c r="V53" s="25"/>
      <c r="W53" s="25"/>
      <c r="X53" s="25"/>
      <c r="Y53" s="25"/>
      <c r="Z53" s="25"/>
      <c r="AA53" s="25"/>
      <c r="AB53" s="25"/>
    </row>
    <row r="54" spans="1:28">
      <c r="P54" s="133"/>
      <c r="Q54" s="133"/>
      <c r="R54" s="133"/>
      <c r="S54" s="133"/>
      <c r="T54" s="133"/>
      <c r="U54" s="133"/>
      <c r="V54" s="133"/>
      <c r="W54" s="133"/>
      <c r="X54" s="133"/>
      <c r="Y54" s="133"/>
      <c r="Z54" s="133"/>
      <c r="AA54" s="133"/>
      <c r="AB54" s="133"/>
    </row>
    <row r="55" spans="1:28">
      <c r="P55" s="133"/>
      <c r="Q55" s="133"/>
      <c r="R55" s="133"/>
      <c r="S55" s="133"/>
      <c r="T55" s="133"/>
      <c r="U55" s="133"/>
      <c r="V55" s="133"/>
      <c r="W55" s="133"/>
      <c r="X55" s="133"/>
      <c r="Y55" s="133"/>
      <c r="Z55" s="133"/>
      <c r="AA55" s="133"/>
      <c r="AB55" s="133"/>
    </row>
    <row r="56" spans="1:28">
      <c r="I56" s="33"/>
      <c r="P56" s="133"/>
      <c r="Q56" s="133"/>
      <c r="R56" s="133"/>
      <c r="S56" s="133"/>
      <c r="T56" s="133"/>
      <c r="U56" s="133"/>
      <c r="V56" s="133"/>
      <c r="W56" s="133"/>
      <c r="X56" s="133"/>
      <c r="Y56" s="133"/>
      <c r="Z56" s="133"/>
      <c r="AA56" s="133"/>
      <c r="AB56" s="133"/>
    </row>
    <row r="57" spans="1:28">
      <c r="I57" s="33"/>
      <c r="P57" s="133"/>
      <c r="Q57" s="133"/>
      <c r="R57" s="133"/>
      <c r="S57" s="133"/>
      <c r="T57" s="133"/>
      <c r="U57" s="133"/>
      <c r="V57" s="133"/>
      <c r="W57" s="133"/>
      <c r="X57" s="133"/>
      <c r="Y57" s="133"/>
      <c r="Z57" s="133"/>
      <c r="AA57" s="133"/>
      <c r="AB57" s="133"/>
    </row>
    <row r="58" spans="1:28">
      <c r="P58" s="133"/>
      <c r="Q58" s="133"/>
      <c r="R58" s="133"/>
      <c r="S58" s="133"/>
      <c r="T58" s="133"/>
      <c r="U58" s="133"/>
      <c r="V58" s="133"/>
      <c r="W58" s="133"/>
      <c r="X58" s="133"/>
      <c r="Y58" s="133"/>
      <c r="Z58" s="133"/>
      <c r="AA58" s="133"/>
      <c r="AB58" s="133"/>
    </row>
    <row r="59" spans="1:28">
      <c r="P59" s="133"/>
      <c r="Q59" s="133"/>
      <c r="R59" s="133"/>
      <c r="S59" s="133"/>
      <c r="T59" s="133"/>
      <c r="U59" s="133"/>
      <c r="V59" s="133"/>
      <c r="W59" s="133"/>
      <c r="X59" s="133"/>
      <c r="Y59" s="133"/>
      <c r="Z59" s="133"/>
      <c r="AA59" s="133"/>
      <c r="AB59" s="133"/>
    </row>
    <row r="60" spans="1:28">
      <c r="P60" s="133"/>
      <c r="Q60" s="133"/>
      <c r="R60" s="133"/>
      <c r="S60" s="133"/>
      <c r="T60" s="133"/>
      <c r="U60" s="133"/>
      <c r="V60" s="133"/>
      <c r="W60" s="133"/>
      <c r="X60" s="133"/>
      <c r="Y60" s="133"/>
      <c r="Z60" s="133"/>
      <c r="AA60" s="133"/>
      <c r="AB60" s="133"/>
    </row>
    <row r="61" spans="1:28">
      <c r="P61" s="133"/>
      <c r="Q61" s="133"/>
      <c r="R61" s="133"/>
      <c r="S61" s="133"/>
      <c r="T61" s="133"/>
      <c r="U61" s="133"/>
      <c r="V61" s="133"/>
      <c r="W61" s="133"/>
      <c r="X61" s="133"/>
      <c r="Y61" s="133"/>
      <c r="Z61" s="133"/>
      <c r="AA61" s="133"/>
      <c r="AB61" s="133"/>
    </row>
    <row r="62" spans="1:28">
      <c r="P62" s="133"/>
      <c r="Q62" s="133"/>
      <c r="R62" s="133"/>
      <c r="S62" s="133"/>
      <c r="T62" s="133"/>
      <c r="U62" s="133"/>
      <c r="V62" s="133"/>
      <c r="W62" s="133"/>
      <c r="X62" s="133"/>
      <c r="Y62" s="133"/>
      <c r="Z62" s="133"/>
      <c r="AA62" s="133"/>
      <c r="AB62" s="133"/>
    </row>
    <row r="63" spans="1:28">
      <c r="P63" s="133"/>
      <c r="Q63" s="133"/>
      <c r="R63" s="133"/>
      <c r="S63" s="133"/>
      <c r="T63" s="133"/>
      <c r="U63" s="133"/>
      <c r="V63" s="133"/>
      <c r="W63" s="133"/>
      <c r="X63" s="133"/>
      <c r="Y63" s="133"/>
      <c r="Z63" s="133"/>
      <c r="AA63" s="133"/>
      <c r="AB63" s="133"/>
    </row>
    <row r="64" spans="1:28">
      <c r="P64" s="133"/>
      <c r="Q64" s="133"/>
      <c r="R64" s="133"/>
      <c r="S64" s="133"/>
      <c r="T64" s="133"/>
      <c r="U64" s="133"/>
      <c r="V64" s="133"/>
      <c r="W64" s="133"/>
      <c r="X64" s="133"/>
      <c r="Y64" s="133"/>
      <c r="Z64" s="133"/>
      <c r="AA64" s="133"/>
      <c r="AB64" s="133"/>
    </row>
    <row r="65" spans="16:28">
      <c r="P65" s="133"/>
      <c r="Q65" s="133"/>
      <c r="R65" s="133"/>
      <c r="S65" s="133"/>
      <c r="T65" s="133"/>
      <c r="U65" s="133"/>
      <c r="V65" s="133"/>
      <c r="W65" s="133"/>
      <c r="X65" s="133"/>
      <c r="Y65" s="133"/>
      <c r="Z65" s="133"/>
      <c r="AA65" s="133"/>
      <c r="AB65" s="133"/>
    </row>
    <row r="66" spans="16:28">
      <c r="P66" s="133"/>
      <c r="Q66" s="133"/>
      <c r="R66" s="133"/>
      <c r="S66" s="133"/>
      <c r="T66" s="133"/>
      <c r="U66" s="133"/>
      <c r="V66" s="133"/>
      <c r="W66" s="133"/>
      <c r="X66" s="133"/>
      <c r="Y66" s="133"/>
      <c r="Z66" s="133"/>
      <c r="AA66" s="133"/>
      <c r="AB66" s="133"/>
    </row>
    <row r="67" spans="16:28">
      <c r="P67" s="133"/>
      <c r="Q67" s="133"/>
      <c r="R67" s="133"/>
      <c r="S67" s="133"/>
      <c r="T67" s="133"/>
      <c r="U67" s="133"/>
      <c r="V67" s="133"/>
      <c r="W67" s="133"/>
      <c r="X67" s="133"/>
      <c r="Y67" s="133"/>
      <c r="Z67" s="133"/>
      <c r="AA67" s="133"/>
      <c r="AB67" s="133"/>
    </row>
    <row r="68" spans="16:28">
      <c r="P68" s="133"/>
      <c r="Q68" s="133"/>
      <c r="R68" s="133"/>
      <c r="S68" s="133"/>
      <c r="T68" s="133"/>
      <c r="U68" s="133"/>
      <c r="V68" s="133"/>
      <c r="W68" s="133"/>
      <c r="X68" s="133"/>
      <c r="Y68" s="133"/>
      <c r="Z68" s="133"/>
      <c r="AA68" s="133"/>
      <c r="AB68" s="133"/>
    </row>
    <row r="69" spans="16:28">
      <c r="P69" s="133"/>
      <c r="Q69" s="133"/>
      <c r="R69" s="133"/>
      <c r="S69" s="133"/>
      <c r="T69" s="133"/>
      <c r="U69" s="133"/>
      <c r="V69" s="133"/>
      <c r="W69" s="133"/>
      <c r="X69" s="133"/>
      <c r="Y69" s="133"/>
      <c r="Z69" s="133"/>
      <c r="AA69" s="133"/>
      <c r="AB69" s="133"/>
    </row>
    <row r="70" spans="16:28">
      <c r="P70" s="133"/>
      <c r="Q70" s="133"/>
      <c r="R70" s="133"/>
      <c r="S70" s="133"/>
      <c r="T70" s="133"/>
      <c r="U70" s="133"/>
      <c r="V70" s="133"/>
      <c r="W70" s="133"/>
      <c r="X70" s="133"/>
      <c r="Y70" s="133"/>
      <c r="Z70" s="133"/>
      <c r="AA70" s="133"/>
      <c r="AB70" s="133"/>
    </row>
    <row r="71" spans="16:28">
      <c r="P71" s="133"/>
      <c r="Q71" s="133"/>
      <c r="R71" s="133"/>
      <c r="S71" s="133"/>
      <c r="T71" s="133"/>
      <c r="U71" s="133"/>
      <c r="V71" s="133"/>
      <c r="W71" s="133"/>
      <c r="X71" s="133"/>
      <c r="Y71" s="133"/>
      <c r="Z71" s="133"/>
      <c r="AA71" s="133"/>
      <c r="AB71" s="133"/>
    </row>
    <row r="72" spans="16:28">
      <c r="P72" s="133"/>
      <c r="Q72" s="133"/>
      <c r="R72" s="133"/>
      <c r="S72" s="133"/>
      <c r="T72" s="133"/>
      <c r="U72" s="133"/>
      <c r="V72" s="133"/>
      <c r="W72" s="133"/>
      <c r="X72" s="133"/>
      <c r="Y72" s="133"/>
      <c r="Z72" s="133"/>
      <c r="AA72" s="133"/>
      <c r="AB72" s="133"/>
    </row>
    <row r="73" spans="16:28">
      <c r="P73" s="133"/>
      <c r="Q73" s="133"/>
      <c r="R73" s="133"/>
      <c r="S73" s="133"/>
      <c r="T73" s="133"/>
      <c r="U73" s="133"/>
      <c r="V73" s="133"/>
      <c r="W73" s="133"/>
      <c r="X73" s="133"/>
      <c r="Y73" s="133"/>
      <c r="Z73" s="133"/>
      <c r="AA73" s="133"/>
      <c r="AB73" s="133"/>
    </row>
    <row r="74" spans="16:28">
      <c r="P74" s="133"/>
      <c r="Q74" s="133"/>
      <c r="R74" s="133"/>
      <c r="S74" s="133"/>
      <c r="T74" s="133"/>
      <c r="U74" s="133"/>
      <c r="V74" s="133"/>
      <c r="W74" s="133"/>
      <c r="X74" s="133"/>
      <c r="Y74" s="133"/>
      <c r="Z74" s="133"/>
      <c r="AA74" s="133"/>
      <c r="AB74" s="133"/>
    </row>
    <row r="75" spans="16:28">
      <c r="P75" s="133"/>
      <c r="Q75" s="133"/>
      <c r="R75" s="133"/>
      <c r="S75" s="133"/>
      <c r="T75" s="133"/>
      <c r="U75" s="133"/>
      <c r="V75" s="133"/>
      <c r="W75" s="133"/>
      <c r="X75" s="133"/>
      <c r="Y75" s="133"/>
      <c r="Z75" s="133"/>
      <c r="AA75" s="133"/>
      <c r="AB75" s="133"/>
    </row>
    <row r="76" spans="16:28">
      <c r="P76" s="133"/>
      <c r="Q76" s="133"/>
      <c r="R76" s="133"/>
      <c r="S76" s="133"/>
      <c r="T76" s="133"/>
      <c r="U76" s="133"/>
      <c r="V76" s="133"/>
      <c r="W76" s="133"/>
      <c r="X76" s="133"/>
      <c r="Y76" s="133"/>
      <c r="Z76" s="133"/>
      <c r="AA76" s="133"/>
      <c r="AB76" s="133"/>
    </row>
    <row r="77" spans="16:28">
      <c r="P77" s="133"/>
      <c r="Q77" s="133"/>
      <c r="R77" s="133"/>
      <c r="S77" s="133"/>
      <c r="T77" s="133"/>
      <c r="U77" s="133"/>
      <c r="V77" s="133"/>
      <c r="W77" s="133"/>
      <c r="X77" s="133"/>
      <c r="Y77" s="133"/>
      <c r="Z77" s="133"/>
      <c r="AA77" s="133"/>
      <c r="AB77" s="133"/>
    </row>
    <row r="78" spans="16:28">
      <c r="P78" s="133"/>
      <c r="Q78" s="133"/>
      <c r="R78" s="133"/>
      <c r="S78" s="133"/>
      <c r="T78" s="133"/>
      <c r="U78" s="133"/>
      <c r="V78" s="133"/>
      <c r="W78" s="133"/>
      <c r="X78" s="133"/>
      <c r="Y78" s="133"/>
      <c r="Z78" s="133"/>
      <c r="AA78" s="133"/>
      <c r="AB78" s="133"/>
    </row>
    <row r="79" spans="16:28">
      <c r="P79" s="133"/>
      <c r="Q79" s="133"/>
      <c r="R79" s="133"/>
      <c r="S79" s="133"/>
      <c r="T79" s="133"/>
      <c r="U79" s="133"/>
      <c r="V79" s="133"/>
      <c r="W79" s="133"/>
      <c r="X79" s="133"/>
      <c r="Y79" s="133"/>
      <c r="Z79" s="133"/>
      <c r="AA79" s="133"/>
      <c r="AB79" s="133"/>
    </row>
    <row r="80" spans="16:28">
      <c r="P80" s="133"/>
      <c r="Q80" s="133"/>
      <c r="R80" s="133"/>
      <c r="S80" s="133"/>
      <c r="T80" s="133"/>
      <c r="U80" s="133"/>
      <c r="V80" s="133"/>
      <c r="W80" s="133"/>
      <c r="X80" s="133"/>
      <c r="Y80" s="133"/>
      <c r="Z80" s="133"/>
      <c r="AA80" s="133"/>
      <c r="AB80" s="133"/>
    </row>
    <row r="81" spans="16:28">
      <c r="P81" s="133"/>
      <c r="Q81" s="133"/>
      <c r="R81" s="133"/>
      <c r="S81" s="133"/>
      <c r="T81" s="133"/>
      <c r="U81" s="133"/>
      <c r="V81" s="133"/>
      <c r="W81" s="133"/>
      <c r="X81" s="133"/>
      <c r="Y81" s="133"/>
      <c r="Z81" s="133"/>
      <c r="AA81" s="133"/>
      <c r="AB81" s="133"/>
    </row>
    <row r="82" spans="16:28">
      <c r="P82" s="133"/>
      <c r="Q82" s="133"/>
      <c r="R82" s="133"/>
      <c r="S82" s="133"/>
      <c r="T82" s="133"/>
      <c r="U82" s="133"/>
      <c r="V82" s="133"/>
      <c r="W82" s="133"/>
      <c r="X82" s="133"/>
      <c r="Y82" s="133"/>
      <c r="Z82" s="133"/>
      <c r="AA82" s="133"/>
      <c r="AB82" s="133"/>
    </row>
    <row r="83" spans="16:28">
      <c r="P83" s="133"/>
      <c r="Q83" s="133"/>
      <c r="R83" s="133"/>
      <c r="S83" s="133"/>
      <c r="T83" s="133"/>
      <c r="U83" s="133"/>
      <c r="V83" s="133"/>
      <c r="W83" s="133"/>
      <c r="X83" s="133"/>
      <c r="Y83" s="133"/>
      <c r="Z83" s="133"/>
      <c r="AA83" s="133"/>
      <c r="AB83" s="133"/>
    </row>
    <row r="84" spans="16:28">
      <c r="P84" s="133"/>
      <c r="Q84" s="133"/>
      <c r="R84" s="133"/>
      <c r="S84" s="133"/>
      <c r="T84" s="133"/>
      <c r="U84" s="133"/>
      <c r="V84" s="133"/>
      <c r="W84" s="133"/>
      <c r="X84" s="133"/>
      <c r="Y84" s="133"/>
      <c r="Z84" s="133"/>
      <c r="AA84" s="133"/>
      <c r="AB84" s="133"/>
    </row>
    <row r="85" spans="16:28">
      <c r="P85" s="133"/>
      <c r="Q85" s="133"/>
      <c r="R85" s="133"/>
      <c r="S85" s="133"/>
      <c r="T85" s="133"/>
      <c r="U85" s="133"/>
      <c r="V85" s="133"/>
      <c r="W85" s="133"/>
      <c r="X85" s="133"/>
      <c r="Y85" s="133"/>
      <c r="Z85" s="133"/>
      <c r="AA85" s="133"/>
      <c r="AB85" s="133"/>
    </row>
    <row r="86" spans="16:28">
      <c r="P86" s="133"/>
      <c r="Q86" s="133"/>
      <c r="R86" s="133"/>
      <c r="S86" s="133"/>
      <c r="T86" s="133"/>
      <c r="U86" s="133"/>
      <c r="V86" s="133"/>
      <c r="W86" s="133"/>
      <c r="X86" s="133"/>
      <c r="Y86" s="133"/>
      <c r="Z86" s="133"/>
      <c r="AA86" s="133"/>
      <c r="AB86" s="133"/>
    </row>
    <row r="87" spans="16:28">
      <c r="P87" s="133"/>
      <c r="Q87" s="133"/>
      <c r="R87" s="133"/>
      <c r="S87" s="133"/>
      <c r="T87" s="133"/>
      <c r="U87" s="133"/>
      <c r="V87" s="133"/>
      <c r="W87" s="133"/>
      <c r="X87" s="133"/>
      <c r="Y87" s="133"/>
      <c r="Z87" s="133"/>
      <c r="AA87" s="133"/>
      <c r="AB87" s="133"/>
    </row>
    <row r="88" spans="16:28">
      <c r="P88" s="133"/>
      <c r="Q88" s="133"/>
      <c r="R88" s="133"/>
      <c r="S88" s="133"/>
      <c r="T88" s="133"/>
      <c r="U88" s="133"/>
      <c r="V88" s="133"/>
      <c r="W88" s="133"/>
      <c r="X88" s="133"/>
      <c r="Y88" s="133"/>
      <c r="Z88" s="133"/>
      <c r="AA88" s="133"/>
      <c r="AB88" s="133"/>
    </row>
    <row r="89" spans="16:28">
      <c r="P89" s="133"/>
      <c r="Q89" s="133"/>
      <c r="R89" s="133"/>
      <c r="S89" s="133"/>
      <c r="T89" s="133"/>
      <c r="U89" s="133"/>
      <c r="V89" s="133"/>
      <c r="W89" s="133"/>
      <c r="X89" s="133"/>
      <c r="Y89" s="133"/>
      <c r="Z89" s="133"/>
      <c r="AA89" s="133"/>
      <c r="AB89" s="133"/>
    </row>
    <row r="90" spans="16:28">
      <c r="P90" s="133"/>
      <c r="Q90" s="133"/>
      <c r="R90" s="133"/>
      <c r="S90" s="133"/>
      <c r="T90" s="133"/>
      <c r="U90" s="133"/>
      <c r="V90" s="133"/>
      <c r="W90" s="133"/>
      <c r="X90" s="133"/>
      <c r="Y90" s="133"/>
      <c r="Z90" s="133"/>
      <c r="AA90" s="133"/>
      <c r="AB90" s="133"/>
    </row>
    <row r="91" spans="16:28">
      <c r="P91" s="133"/>
      <c r="Q91" s="133"/>
      <c r="R91" s="133"/>
      <c r="S91" s="133"/>
      <c r="T91" s="133"/>
      <c r="U91" s="133"/>
      <c r="V91" s="133"/>
      <c r="W91" s="133"/>
      <c r="X91" s="133"/>
      <c r="Y91" s="133"/>
      <c r="Z91" s="133"/>
      <c r="AA91" s="133"/>
      <c r="AB91" s="133"/>
    </row>
    <row r="92" spans="16:28">
      <c r="P92" s="133"/>
      <c r="Q92" s="133"/>
      <c r="R92" s="133"/>
      <c r="S92" s="133"/>
      <c r="T92" s="133"/>
      <c r="U92" s="133"/>
      <c r="V92" s="133"/>
      <c r="W92" s="133"/>
      <c r="X92" s="133"/>
      <c r="Y92" s="133"/>
      <c r="Z92" s="133"/>
      <c r="AA92" s="133"/>
      <c r="AB92" s="133"/>
    </row>
    <row r="93" spans="16:28">
      <c r="P93" s="133"/>
      <c r="Q93" s="133"/>
      <c r="R93" s="133"/>
      <c r="S93" s="133"/>
      <c r="T93" s="133"/>
      <c r="U93" s="133"/>
      <c r="V93" s="133"/>
      <c r="W93" s="133"/>
      <c r="X93" s="133"/>
      <c r="Y93" s="133"/>
      <c r="Z93" s="133"/>
      <c r="AA93" s="133"/>
      <c r="AB93" s="133"/>
    </row>
    <row r="94" spans="16:28">
      <c r="P94" s="133"/>
      <c r="Q94" s="133"/>
      <c r="R94" s="133"/>
      <c r="S94" s="133"/>
      <c r="T94" s="133"/>
      <c r="U94" s="133"/>
      <c r="V94" s="133"/>
      <c r="W94" s="133"/>
      <c r="X94" s="133"/>
      <c r="Y94" s="133"/>
      <c r="Z94" s="133"/>
      <c r="AA94" s="133"/>
      <c r="AB94" s="133"/>
    </row>
    <row r="95" spans="16:28">
      <c r="P95" s="133"/>
      <c r="Q95" s="133"/>
      <c r="R95" s="133"/>
      <c r="S95" s="133"/>
      <c r="T95" s="133"/>
      <c r="U95" s="133"/>
      <c r="V95" s="133"/>
      <c r="W95" s="133"/>
      <c r="X95" s="133"/>
      <c r="Y95" s="133"/>
      <c r="Z95" s="133"/>
      <c r="AA95" s="133"/>
      <c r="AB95" s="133"/>
    </row>
    <row r="96" spans="16:28">
      <c r="P96" s="133"/>
      <c r="Q96" s="133"/>
      <c r="R96" s="133"/>
      <c r="S96" s="133"/>
      <c r="T96" s="133"/>
      <c r="U96" s="133"/>
      <c r="V96" s="133"/>
      <c r="W96" s="133"/>
      <c r="X96" s="133"/>
      <c r="Y96" s="133"/>
      <c r="Z96" s="133"/>
      <c r="AA96" s="133"/>
      <c r="AB96" s="133"/>
    </row>
    <row r="97" spans="16:28">
      <c r="P97" s="133"/>
      <c r="Q97" s="133"/>
      <c r="R97" s="133"/>
      <c r="S97" s="133"/>
      <c r="T97" s="133"/>
      <c r="U97" s="133"/>
      <c r="V97" s="133"/>
      <c r="W97" s="133"/>
      <c r="X97" s="133"/>
      <c r="Y97" s="133"/>
      <c r="Z97" s="133"/>
      <c r="AA97" s="133"/>
      <c r="AB97" s="133"/>
    </row>
    <row r="98" spans="16:28">
      <c r="P98" s="133"/>
      <c r="Q98" s="133"/>
      <c r="R98" s="133"/>
      <c r="S98" s="133"/>
      <c r="T98" s="133"/>
      <c r="U98" s="133"/>
      <c r="V98" s="133"/>
      <c r="W98" s="133"/>
      <c r="X98" s="133"/>
      <c r="Y98" s="133"/>
      <c r="Z98" s="133"/>
      <c r="AA98" s="133"/>
      <c r="AB98" s="133"/>
    </row>
    <row r="99" spans="16:28">
      <c r="P99" s="133"/>
      <c r="Q99" s="133"/>
      <c r="R99" s="133"/>
      <c r="S99" s="133"/>
      <c r="T99" s="133"/>
      <c r="U99" s="133"/>
      <c r="V99" s="133"/>
      <c r="W99" s="133"/>
      <c r="X99" s="133"/>
      <c r="Y99" s="133"/>
      <c r="Z99" s="133"/>
      <c r="AA99" s="133"/>
      <c r="AB99" s="133"/>
    </row>
    <row r="100" spans="16:28">
      <c r="P100" s="133"/>
      <c r="Q100" s="133"/>
      <c r="R100" s="133"/>
      <c r="S100" s="133"/>
      <c r="T100" s="133"/>
      <c r="U100" s="133"/>
      <c r="V100" s="133"/>
      <c r="W100" s="133"/>
      <c r="X100" s="133"/>
      <c r="Y100" s="133"/>
      <c r="Z100" s="133"/>
      <c r="AA100" s="133"/>
      <c r="AB100" s="133"/>
    </row>
    <row r="101" spans="16:28">
      <c r="P101" s="133"/>
      <c r="Q101" s="133"/>
      <c r="R101" s="133"/>
      <c r="S101" s="133"/>
      <c r="T101" s="133"/>
      <c r="U101" s="133"/>
      <c r="V101" s="133"/>
      <c r="W101" s="133"/>
      <c r="X101" s="133"/>
      <c r="Y101" s="133"/>
      <c r="Z101" s="133"/>
      <c r="AA101" s="133"/>
      <c r="AB101" s="133"/>
    </row>
    <row r="102" spans="16:28">
      <c r="P102" s="133"/>
      <c r="Q102" s="133"/>
      <c r="R102" s="133"/>
      <c r="S102" s="133"/>
      <c r="T102" s="133"/>
      <c r="U102" s="133"/>
      <c r="V102" s="133"/>
      <c r="W102" s="133"/>
      <c r="X102" s="133"/>
      <c r="Y102" s="133"/>
      <c r="Z102" s="133"/>
      <c r="AA102" s="133"/>
      <c r="AB102" s="133"/>
    </row>
    <row r="103" spans="16:28">
      <c r="P103" s="133"/>
      <c r="Q103" s="133"/>
      <c r="R103" s="133"/>
      <c r="S103" s="133"/>
      <c r="T103" s="133"/>
      <c r="U103" s="133"/>
      <c r="V103" s="133"/>
      <c r="W103" s="133"/>
      <c r="X103" s="133"/>
      <c r="Y103" s="133"/>
      <c r="Z103" s="133"/>
      <c r="AA103" s="133"/>
      <c r="AB103" s="133"/>
    </row>
    <row r="104" spans="16:28">
      <c r="P104" s="133"/>
      <c r="Q104" s="133"/>
      <c r="R104" s="133"/>
      <c r="S104" s="133"/>
      <c r="T104" s="133"/>
      <c r="U104" s="133"/>
      <c r="V104" s="133"/>
      <c r="W104" s="133"/>
      <c r="X104" s="133"/>
      <c r="Y104" s="133"/>
      <c r="Z104" s="133"/>
      <c r="AA104" s="133"/>
      <c r="AB104" s="133"/>
    </row>
    <row r="105" spans="16:28">
      <c r="P105" s="133"/>
      <c r="Q105" s="133"/>
      <c r="R105" s="133"/>
      <c r="S105" s="133"/>
      <c r="T105" s="133"/>
      <c r="U105" s="133"/>
      <c r="V105" s="133"/>
      <c r="W105" s="133"/>
      <c r="X105" s="133"/>
      <c r="Y105" s="133"/>
      <c r="Z105" s="133"/>
      <c r="AA105" s="133"/>
      <c r="AB105" s="133"/>
    </row>
    <row r="106" spans="16:28">
      <c r="P106" s="133"/>
      <c r="Q106" s="133"/>
      <c r="R106" s="133"/>
      <c r="S106" s="133"/>
      <c r="T106" s="133"/>
      <c r="U106" s="133"/>
      <c r="V106" s="133"/>
      <c r="W106" s="133"/>
      <c r="X106" s="133"/>
      <c r="Y106" s="133"/>
      <c r="Z106" s="133"/>
      <c r="AA106" s="133"/>
      <c r="AB106" s="133"/>
    </row>
    <row r="107" spans="16:28">
      <c r="P107" s="133"/>
      <c r="Q107" s="133"/>
      <c r="R107" s="133"/>
      <c r="S107" s="133"/>
      <c r="T107" s="133"/>
      <c r="U107" s="133"/>
      <c r="V107" s="133"/>
      <c r="W107" s="133"/>
      <c r="X107" s="133"/>
      <c r="Y107" s="133"/>
      <c r="Z107" s="133"/>
      <c r="AA107" s="133"/>
      <c r="AB107" s="133"/>
    </row>
    <row r="108" spans="16:28">
      <c r="P108" s="133"/>
      <c r="Q108" s="133"/>
      <c r="R108" s="133"/>
      <c r="S108" s="133"/>
      <c r="T108" s="133"/>
      <c r="U108" s="133"/>
      <c r="V108" s="133"/>
      <c r="W108" s="133"/>
      <c r="X108" s="133"/>
      <c r="Y108" s="133"/>
      <c r="Z108" s="133"/>
      <c r="AA108" s="133"/>
      <c r="AB108" s="133"/>
    </row>
    <row r="109" spans="16:28">
      <c r="P109" s="133"/>
      <c r="Q109" s="133"/>
      <c r="R109" s="133"/>
      <c r="S109" s="133"/>
      <c r="T109" s="133"/>
      <c r="U109" s="133"/>
      <c r="V109" s="133"/>
      <c r="W109" s="133"/>
      <c r="X109" s="133"/>
      <c r="Y109" s="133"/>
      <c r="Z109" s="133"/>
      <c r="AA109" s="133"/>
      <c r="AB109" s="133"/>
    </row>
    <row r="110" spans="16:28">
      <c r="P110" s="133"/>
      <c r="Q110" s="133"/>
      <c r="R110" s="133"/>
      <c r="S110" s="133"/>
      <c r="T110" s="133"/>
      <c r="U110" s="133"/>
      <c r="V110" s="133"/>
      <c r="W110" s="133"/>
      <c r="X110" s="133"/>
      <c r="Y110" s="133"/>
      <c r="Z110" s="133"/>
      <c r="AA110" s="133"/>
      <c r="AB110" s="133"/>
    </row>
    <row r="111" spans="16:28">
      <c r="P111" s="133"/>
      <c r="Q111" s="133"/>
      <c r="R111" s="133"/>
      <c r="S111" s="133"/>
      <c r="T111" s="133"/>
      <c r="U111" s="133"/>
      <c r="V111" s="133"/>
      <c r="W111" s="133"/>
      <c r="X111" s="133"/>
      <c r="Y111" s="133"/>
      <c r="Z111" s="133"/>
      <c r="AA111" s="133"/>
      <c r="AB111" s="133"/>
    </row>
    <row r="112" spans="16:28">
      <c r="P112" s="133"/>
      <c r="Q112" s="133"/>
      <c r="R112" s="133"/>
      <c r="S112" s="133"/>
      <c r="T112" s="133"/>
      <c r="U112" s="133"/>
      <c r="V112" s="133"/>
      <c r="W112" s="133"/>
      <c r="X112" s="133"/>
      <c r="Y112" s="133"/>
      <c r="Z112" s="133"/>
      <c r="AA112" s="133"/>
      <c r="AB112" s="133"/>
    </row>
    <row r="113" spans="16:28">
      <c r="P113" s="133"/>
      <c r="Q113" s="133"/>
      <c r="R113" s="133"/>
      <c r="S113" s="133"/>
      <c r="T113" s="133"/>
      <c r="U113" s="133"/>
      <c r="V113" s="133"/>
      <c r="W113" s="133"/>
      <c r="X113" s="133"/>
      <c r="Y113" s="133"/>
      <c r="Z113" s="133"/>
      <c r="AA113" s="133"/>
      <c r="AB113" s="133"/>
    </row>
    <row r="114" spans="16:28">
      <c r="P114" s="133"/>
      <c r="Q114" s="133"/>
      <c r="R114" s="133"/>
      <c r="S114" s="133"/>
      <c r="T114" s="133"/>
      <c r="U114" s="133"/>
      <c r="V114" s="133"/>
      <c r="W114" s="133"/>
      <c r="X114" s="133"/>
      <c r="Y114" s="133"/>
      <c r="Z114" s="133"/>
      <c r="AA114" s="133"/>
      <c r="AB114" s="133"/>
    </row>
    <row r="115" spans="16:28">
      <c r="P115" s="133"/>
      <c r="Q115" s="133"/>
      <c r="R115" s="133"/>
      <c r="S115" s="133"/>
      <c r="T115" s="133"/>
      <c r="U115" s="133"/>
      <c r="V115" s="133"/>
      <c r="W115" s="133"/>
      <c r="X115" s="133"/>
      <c r="Y115" s="133"/>
      <c r="Z115" s="133"/>
      <c r="AA115" s="133"/>
      <c r="AB115" s="133"/>
    </row>
    <row r="116" spans="16:28">
      <c r="P116" s="133"/>
      <c r="Q116" s="133"/>
      <c r="R116" s="133"/>
      <c r="S116" s="133"/>
      <c r="T116" s="133"/>
      <c r="U116" s="133"/>
      <c r="V116" s="133"/>
      <c r="W116" s="133"/>
      <c r="X116" s="133"/>
      <c r="Y116" s="133"/>
      <c r="Z116" s="133"/>
      <c r="AA116" s="133"/>
      <c r="AB116" s="133"/>
    </row>
    <row r="117" spans="16:28">
      <c r="P117" s="133"/>
      <c r="Q117" s="133"/>
      <c r="R117" s="133"/>
      <c r="S117" s="133"/>
      <c r="T117" s="133"/>
      <c r="U117" s="133"/>
      <c r="V117" s="133"/>
      <c r="W117" s="133"/>
      <c r="X117" s="133"/>
      <c r="Y117" s="133"/>
      <c r="Z117" s="133"/>
      <c r="AA117" s="133"/>
      <c r="AB117" s="133"/>
    </row>
    <row r="118" spans="16:28">
      <c r="P118" s="133"/>
      <c r="Q118" s="133"/>
      <c r="R118" s="133"/>
      <c r="S118" s="133"/>
      <c r="T118" s="133"/>
      <c r="U118" s="133"/>
      <c r="V118" s="133"/>
      <c r="W118" s="133"/>
      <c r="X118" s="133"/>
      <c r="Y118" s="133"/>
      <c r="Z118" s="133"/>
      <c r="AA118" s="133"/>
      <c r="AB118" s="133"/>
    </row>
    <row r="119" spans="16:28">
      <c r="P119" s="133"/>
      <c r="Q119" s="133"/>
      <c r="R119" s="133"/>
      <c r="S119" s="133"/>
      <c r="T119" s="133"/>
      <c r="U119" s="133"/>
      <c r="V119" s="133"/>
      <c r="W119" s="133"/>
      <c r="X119" s="133"/>
      <c r="Y119" s="133"/>
      <c r="Z119" s="133"/>
      <c r="AA119" s="133"/>
      <c r="AB119" s="133"/>
    </row>
    <row r="120" spans="16:28">
      <c r="P120" s="133"/>
      <c r="Q120" s="133"/>
      <c r="R120" s="133"/>
      <c r="S120" s="133"/>
      <c r="T120" s="133"/>
      <c r="U120" s="133"/>
      <c r="V120" s="133"/>
      <c r="W120" s="133"/>
      <c r="X120" s="133"/>
      <c r="Y120" s="133"/>
      <c r="Z120" s="133"/>
      <c r="AA120" s="133"/>
      <c r="AB120" s="133"/>
    </row>
    <row r="121" spans="16:28">
      <c r="P121" s="133"/>
      <c r="Q121" s="133"/>
      <c r="R121" s="133"/>
      <c r="S121" s="133"/>
      <c r="T121" s="133"/>
      <c r="U121" s="133"/>
      <c r="V121" s="133"/>
      <c r="W121" s="133"/>
      <c r="X121" s="133"/>
      <c r="Y121" s="133"/>
      <c r="Z121" s="133"/>
      <c r="AA121" s="133"/>
      <c r="AB121" s="133"/>
    </row>
    <row r="122" spans="16:28">
      <c r="P122" s="133"/>
      <c r="Q122" s="133"/>
      <c r="R122" s="133"/>
      <c r="S122" s="133"/>
      <c r="T122" s="133"/>
      <c r="U122" s="133"/>
      <c r="V122" s="133"/>
      <c r="W122" s="133"/>
      <c r="X122" s="133"/>
      <c r="Y122" s="133"/>
      <c r="Z122" s="133"/>
      <c r="AA122" s="133"/>
      <c r="AB122" s="133"/>
    </row>
    <row r="123" spans="16:28">
      <c r="P123" s="133"/>
      <c r="Q123" s="133"/>
      <c r="R123" s="133"/>
      <c r="S123" s="133"/>
      <c r="T123" s="133"/>
      <c r="U123" s="133"/>
      <c r="V123" s="133"/>
      <c r="W123" s="133"/>
      <c r="X123" s="133"/>
      <c r="Y123" s="133"/>
      <c r="Z123" s="133"/>
      <c r="AA123" s="133"/>
      <c r="AB123" s="133"/>
    </row>
    <row r="124" spans="16:28">
      <c r="P124" s="133"/>
      <c r="Q124" s="133"/>
      <c r="R124" s="133"/>
      <c r="S124" s="133"/>
      <c r="T124" s="133"/>
      <c r="U124" s="133"/>
      <c r="V124" s="133"/>
      <c r="W124" s="133"/>
      <c r="X124" s="133"/>
      <c r="Y124" s="133"/>
      <c r="Z124" s="133"/>
      <c r="AA124" s="133"/>
      <c r="AB124" s="133"/>
    </row>
    <row r="125" spans="16:28">
      <c r="P125" s="133"/>
      <c r="Q125" s="133"/>
      <c r="R125" s="133"/>
      <c r="S125" s="133"/>
      <c r="T125" s="133"/>
      <c r="U125" s="133"/>
      <c r="V125" s="133"/>
      <c r="W125" s="133"/>
      <c r="X125" s="133"/>
      <c r="Y125" s="133"/>
      <c r="Z125" s="133"/>
      <c r="AA125" s="133"/>
      <c r="AB125" s="133"/>
    </row>
    <row r="126" spans="16:28">
      <c r="P126" s="133"/>
      <c r="Q126" s="133"/>
      <c r="R126" s="133"/>
      <c r="S126" s="133"/>
      <c r="T126" s="133"/>
      <c r="U126" s="133"/>
      <c r="V126" s="133"/>
      <c r="W126" s="133"/>
      <c r="X126" s="133"/>
      <c r="Y126" s="133"/>
      <c r="Z126" s="133"/>
      <c r="AA126" s="133"/>
      <c r="AB126" s="133"/>
    </row>
    <row r="127" spans="16:28">
      <c r="P127" s="133"/>
      <c r="Q127" s="133"/>
      <c r="R127" s="133"/>
      <c r="S127" s="133"/>
      <c r="T127" s="133"/>
      <c r="U127" s="133"/>
      <c r="V127" s="133"/>
      <c r="W127" s="133"/>
      <c r="X127" s="133"/>
      <c r="Y127" s="133"/>
      <c r="Z127" s="133"/>
      <c r="AA127" s="133"/>
      <c r="AB127" s="133"/>
    </row>
    <row r="128" spans="16:28">
      <c r="P128" s="133"/>
      <c r="Q128" s="133"/>
      <c r="R128" s="133"/>
      <c r="S128" s="133"/>
      <c r="T128" s="133"/>
      <c r="U128" s="133"/>
      <c r="V128" s="133"/>
      <c r="W128" s="133"/>
      <c r="X128" s="133"/>
      <c r="Y128" s="133"/>
      <c r="Z128" s="133"/>
      <c r="AA128" s="133"/>
      <c r="AB128" s="133"/>
    </row>
    <row r="129" spans="16:28">
      <c r="P129" s="133"/>
      <c r="Q129" s="133"/>
      <c r="R129" s="133"/>
      <c r="S129" s="133"/>
      <c r="T129" s="133"/>
      <c r="U129" s="133"/>
      <c r="V129" s="133"/>
      <c r="W129" s="133"/>
      <c r="X129" s="133"/>
      <c r="Y129" s="133"/>
      <c r="Z129" s="133"/>
      <c r="AA129" s="133"/>
      <c r="AB129" s="133"/>
    </row>
    <row r="130" spans="16:28">
      <c r="P130" s="133"/>
      <c r="Q130" s="133"/>
      <c r="R130" s="133"/>
      <c r="S130" s="133"/>
      <c r="T130" s="133"/>
      <c r="U130" s="133"/>
      <c r="V130" s="133"/>
      <c r="W130" s="133"/>
      <c r="X130" s="133"/>
      <c r="Y130" s="133"/>
      <c r="Z130" s="133"/>
      <c r="AA130" s="133"/>
      <c r="AB130" s="133"/>
    </row>
    <row r="131" spans="16:28">
      <c r="P131" s="133"/>
      <c r="Q131" s="133"/>
      <c r="R131" s="133"/>
      <c r="S131" s="133"/>
      <c r="T131" s="133"/>
      <c r="U131" s="133"/>
      <c r="V131" s="133"/>
      <c r="W131" s="133"/>
      <c r="X131" s="133"/>
      <c r="Y131" s="133"/>
      <c r="Z131" s="133"/>
      <c r="AA131" s="133"/>
      <c r="AB131" s="133"/>
    </row>
    <row r="132" spans="16:28">
      <c r="P132" s="133"/>
      <c r="Q132" s="133"/>
      <c r="R132" s="133"/>
      <c r="S132" s="133"/>
      <c r="T132" s="133"/>
      <c r="U132" s="133"/>
      <c r="V132" s="133"/>
      <c r="W132" s="133"/>
      <c r="X132" s="133"/>
      <c r="Y132" s="133"/>
      <c r="Z132" s="133"/>
      <c r="AA132" s="133"/>
      <c r="AB132" s="133"/>
    </row>
    <row r="133" spans="16:28">
      <c r="P133" s="133"/>
      <c r="Q133" s="133"/>
      <c r="R133" s="133"/>
      <c r="S133" s="133"/>
      <c r="T133" s="133"/>
      <c r="U133" s="133"/>
      <c r="V133" s="133"/>
      <c r="W133" s="133"/>
      <c r="X133" s="133"/>
      <c r="Y133" s="133"/>
      <c r="Z133" s="133"/>
      <c r="AA133" s="133"/>
      <c r="AB133" s="133"/>
    </row>
    <row r="134" spans="16:28">
      <c r="P134" s="133"/>
      <c r="Q134" s="133"/>
      <c r="R134" s="133"/>
      <c r="S134" s="133"/>
      <c r="T134" s="133"/>
      <c r="U134" s="133"/>
      <c r="V134" s="133"/>
      <c r="W134" s="133"/>
      <c r="X134" s="133"/>
      <c r="Y134" s="133"/>
      <c r="Z134" s="133"/>
      <c r="AA134" s="133"/>
      <c r="AB134" s="133"/>
    </row>
    <row r="135" spans="16:28">
      <c r="P135" s="133"/>
      <c r="Q135" s="133"/>
      <c r="R135" s="133"/>
      <c r="S135" s="133"/>
      <c r="T135" s="133"/>
      <c r="U135" s="133"/>
      <c r="V135" s="133"/>
      <c r="W135" s="133"/>
      <c r="X135" s="133"/>
      <c r="Y135" s="133"/>
      <c r="Z135" s="133"/>
      <c r="AA135" s="133"/>
      <c r="AB135" s="133"/>
    </row>
    <row r="136" spans="16:28">
      <c r="P136" s="133"/>
      <c r="Q136" s="133"/>
      <c r="R136" s="133"/>
      <c r="S136" s="133"/>
      <c r="T136" s="133"/>
      <c r="U136" s="133"/>
      <c r="V136" s="133"/>
      <c r="W136" s="133"/>
      <c r="X136" s="133"/>
      <c r="Y136" s="133"/>
      <c r="Z136" s="133"/>
      <c r="AA136" s="133"/>
      <c r="AB136" s="133"/>
    </row>
    <row r="137" spans="16:28">
      <c r="P137" s="133"/>
      <c r="Q137" s="133"/>
      <c r="R137" s="133"/>
      <c r="S137" s="133"/>
      <c r="T137" s="133"/>
      <c r="U137" s="133"/>
      <c r="V137" s="133"/>
      <c r="W137" s="133"/>
      <c r="X137" s="133"/>
      <c r="Y137" s="133"/>
      <c r="Z137" s="133"/>
      <c r="AA137" s="133"/>
      <c r="AB137" s="133"/>
    </row>
    <row r="138" spans="16:28">
      <c r="P138" s="133"/>
      <c r="Q138" s="133"/>
      <c r="R138" s="133"/>
      <c r="S138" s="133"/>
      <c r="T138" s="133"/>
      <c r="U138" s="133"/>
      <c r="V138" s="133"/>
      <c r="W138" s="133"/>
      <c r="X138" s="133"/>
      <c r="Y138" s="133"/>
      <c r="Z138" s="133"/>
      <c r="AA138" s="133"/>
      <c r="AB138" s="133"/>
    </row>
    <row r="139" spans="16:28">
      <c r="P139" s="133"/>
      <c r="Q139" s="133"/>
      <c r="R139" s="133"/>
      <c r="S139" s="133"/>
      <c r="T139" s="133"/>
      <c r="U139" s="133"/>
      <c r="V139" s="133"/>
      <c r="W139" s="133"/>
      <c r="X139" s="133"/>
      <c r="Y139" s="133"/>
      <c r="Z139" s="133"/>
      <c r="AA139" s="133"/>
      <c r="AB139" s="133"/>
    </row>
    <row r="140" spans="16:28">
      <c r="P140" s="133"/>
      <c r="Q140" s="133"/>
      <c r="R140" s="133"/>
      <c r="S140" s="133"/>
      <c r="T140" s="133"/>
      <c r="U140" s="133"/>
      <c r="V140" s="133"/>
      <c r="W140" s="133"/>
      <c r="X140" s="133"/>
      <c r="Y140" s="133"/>
      <c r="Z140" s="133"/>
      <c r="AA140" s="133"/>
      <c r="AB140" s="133"/>
    </row>
    <row r="141" spans="16:28">
      <c r="P141" s="133"/>
      <c r="Q141" s="133"/>
      <c r="R141" s="133"/>
      <c r="S141" s="133"/>
      <c r="T141" s="133"/>
      <c r="U141" s="133"/>
      <c r="V141" s="133"/>
      <c r="W141" s="133"/>
      <c r="X141" s="133"/>
      <c r="Y141" s="133"/>
      <c r="Z141" s="133"/>
      <c r="AA141" s="133"/>
      <c r="AB141" s="133"/>
    </row>
    <row r="142" spans="16:28">
      <c r="P142" s="133"/>
      <c r="Q142" s="133"/>
      <c r="R142" s="133"/>
      <c r="S142" s="133"/>
      <c r="T142" s="133"/>
      <c r="U142" s="133"/>
      <c r="V142" s="133"/>
      <c r="W142" s="133"/>
      <c r="X142" s="133"/>
      <c r="Y142" s="133"/>
      <c r="Z142" s="133"/>
      <c r="AA142" s="133"/>
      <c r="AB142" s="133"/>
    </row>
    <row r="143" spans="16:28">
      <c r="P143" s="133"/>
      <c r="Q143" s="133"/>
      <c r="R143" s="133"/>
      <c r="S143" s="133"/>
      <c r="T143" s="133"/>
      <c r="U143" s="133"/>
      <c r="V143" s="133"/>
      <c r="W143" s="133"/>
      <c r="X143" s="133"/>
      <c r="Y143" s="133"/>
      <c r="Z143" s="133"/>
      <c r="AA143" s="133"/>
      <c r="AB143" s="133"/>
    </row>
    <row r="144" spans="16:28">
      <c r="P144" s="133"/>
      <c r="Q144" s="133"/>
      <c r="R144" s="133"/>
      <c r="S144" s="133"/>
      <c r="T144" s="133"/>
      <c r="U144" s="133"/>
      <c r="V144" s="133"/>
      <c r="W144" s="133"/>
      <c r="X144" s="133"/>
      <c r="Y144" s="133"/>
      <c r="Z144" s="133"/>
      <c r="AA144" s="133"/>
      <c r="AB144" s="133"/>
    </row>
    <row r="145" spans="16:28">
      <c r="P145" s="133"/>
      <c r="Q145" s="133"/>
      <c r="R145" s="133"/>
      <c r="S145" s="133"/>
      <c r="T145" s="133"/>
      <c r="U145" s="133"/>
      <c r="V145" s="133"/>
      <c r="W145" s="133"/>
      <c r="X145" s="133"/>
      <c r="Y145" s="133"/>
      <c r="Z145" s="133"/>
      <c r="AA145" s="133"/>
      <c r="AB145" s="133"/>
    </row>
    <row r="146" spans="16:28">
      <c r="P146" s="133"/>
      <c r="Q146" s="133"/>
      <c r="R146" s="133"/>
      <c r="S146" s="133"/>
      <c r="T146" s="133"/>
      <c r="U146" s="133"/>
      <c r="V146" s="133"/>
      <c r="W146" s="133"/>
      <c r="X146" s="133"/>
      <c r="Y146" s="133"/>
      <c r="Z146" s="133"/>
      <c r="AA146" s="133"/>
      <c r="AB146" s="133"/>
    </row>
    <row r="147" spans="16:28">
      <c r="P147" s="133"/>
      <c r="Q147" s="133"/>
      <c r="R147" s="133"/>
      <c r="S147" s="133"/>
      <c r="T147" s="133"/>
      <c r="U147" s="133"/>
      <c r="V147" s="133"/>
      <c r="W147" s="133"/>
      <c r="X147" s="133"/>
      <c r="Y147" s="133"/>
      <c r="Z147" s="133"/>
      <c r="AA147" s="133"/>
      <c r="AB147" s="133"/>
    </row>
    <row r="148" spans="16:28">
      <c r="P148" s="133"/>
      <c r="Q148" s="133"/>
      <c r="R148" s="133"/>
      <c r="S148" s="133"/>
      <c r="T148" s="133"/>
      <c r="U148" s="133"/>
      <c r="V148" s="133"/>
      <c r="W148" s="133"/>
      <c r="X148" s="133"/>
      <c r="Y148" s="133"/>
      <c r="Z148" s="133"/>
      <c r="AA148" s="133"/>
      <c r="AB148" s="133"/>
    </row>
    <row r="149" spans="16:28">
      <c r="P149" s="133"/>
      <c r="Q149" s="133"/>
      <c r="R149" s="133"/>
      <c r="S149" s="133"/>
      <c r="T149" s="133"/>
      <c r="U149" s="133"/>
      <c r="V149" s="133"/>
      <c r="W149" s="133"/>
      <c r="X149" s="133"/>
      <c r="Y149" s="133"/>
      <c r="Z149" s="133"/>
      <c r="AA149" s="133"/>
      <c r="AB149" s="133"/>
    </row>
    <row r="150" spans="16:28">
      <c r="P150" s="133"/>
      <c r="Q150" s="133"/>
      <c r="R150" s="133"/>
      <c r="S150" s="133"/>
      <c r="T150" s="133"/>
      <c r="U150" s="133"/>
      <c r="V150" s="133"/>
      <c r="W150" s="133"/>
      <c r="X150" s="133"/>
      <c r="Y150" s="133"/>
      <c r="Z150" s="133"/>
      <c r="AA150" s="133"/>
      <c r="AB150" s="133"/>
    </row>
    <row r="151" spans="16:28">
      <c r="P151" s="133"/>
      <c r="Q151" s="133"/>
      <c r="R151" s="133"/>
      <c r="S151" s="133"/>
      <c r="T151" s="133"/>
      <c r="U151" s="133"/>
      <c r="V151" s="133"/>
      <c r="W151" s="133"/>
      <c r="X151" s="133"/>
      <c r="Y151" s="133"/>
      <c r="Z151" s="133"/>
      <c r="AA151" s="133"/>
      <c r="AB151" s="133"/>
    </row>
    <row r="152" spans="16:28">
      <c r="P152" s="133"/>
      <c r="Q152" s="133"/>
      <c r="R152" s="133"/>
      <c r="S152" s="133"/>
      <c r="T152" s="133"/>
      <c r="U152" s="133"/>
      <c r="V152" s="133"/>
      <c r="W152" s="133"/>
      <c r="X152" s="133"/>
      <c r="Y152" s="133"/>
      <c r="Z152" s="133"/>
      <c r="AA152" s="133"/>
      <c r="AB152" s="133"/>
    </row>
    <row r="153" spans="16:28">
      <c r="P153" s="133"/>
      <c r="Q153" s="133"/>
      <c r="R153" s="133"/>
      <c r="S153" s="133"/>
      <c r="T153" s="133"/>
      <c r="U153" s="133"/>
      <c r="V153" s="133"/>
      <c r="W153" s="133"/>
      <c r="X153" s="133"/>
      <c r="Y153" s="133"/>
      <c r="Z153" s="133"/>
      <c r="AA153" s="133"/>
      <c r="AB153" s="133"/>
    </row>
    <row r="154" spans="16:28">
      <c r="P154" s="133"/>
      <c r="Q154" s="133"/>
      <c r="R154" s="133"/>
      <c r="S154" s="133"/>
      <c r="T154" s="133"/>
      <c r="U154" s="133"/>
      <c r="V154" s="133"/>
      <c r="W154" s="133"/>
      <c r="X154" s="133"/>
      <c r="Y154" s="133"/>
      <c r="Z154" s="133"/>
      <c r="AA154" s="133"/>
      <c r="AB154" s="133"/>
    </row>
    <row r="155" spans="16:28">
      <c r="P155" s="133"/>
      <c r="Q155" s="133"/>
      <c r="R155" s="133"/>
      <c r="S155" s="133"/>
      <c r="T155" s="133"/>
      <c r="U155" s="133"/>
      <c r="V155" s="133"/>
      <c r="W155" s="133"/>
      <c r="X155" s="133"/>
      <c r="Y155" s="133"/>
      <c r="Z155" s="133"/>
      <c r="AA155" s="133"/>
      <c r="AB155" s="133"/>
    </row>
    <row r="156" spans="16:28">
      <c r="P156" s="133"/>
      <c r="Q156" s="133"/>
      <c r="R156" s="133"/>
      <c r="S156" s="133"/>
      <c r="T156" s="133"/>
      <c r="U156" s="133"/>
      <c r="V156" s="133"/>
      <c r="W156" s="133"/>
      <c r="X156" s="133"/>
      <c r="Y156" s="133"/>
      <c r="Z156" s="133"/>
      <c r="AA156" s="133"/>
      <c r="AB156" s="133"/>
    </row>
    <row r="157" spans="16:28">
      <c r="P157" s="133"/>
      <c r="Q157" s="133"/>
      <c r="R157" s="133"/>
      <c r="S157" s="133"/>
      <c r="T157" s="133"/>
      <c r="U157" s="133"/>
      <c r="V157" s="133"/>
      <c r="W157" s="133"/>
      <c r="X157" s="133"/>
      <c r="Y157" s="133"/>
      <c r="Z157" s="133"/>
      <c r="AA157" s="133"/>
      <c r="AB157" s="133"/>
    </row>
    <row r="158" spans="16:28">
      <c r="P158" s="133"/>
      <c r="Q158" s="133"/>
      <c r="R158" s="133"/>
      <c r="S158" s="133"/>
      <c r="T158" s="133"/>
      <c r="U158" s="133"/>
      <c r="V158" s="133"/>
      <c r="W158" s="133"/>
      <c r="X158" s="133"/>
      <c r="Y158" s="133"/>
      <c r="Z158" s="133"/>
      <c r="AA158" s="133"/>
      <c r="AB158" s="133"/>
    </row>
    <row r="159" spans="16:28">
      <c r="P159" s="133"/>
      <c r="Q159" s="133"/>
      <c r="R159" s="133"/>
      <c r="S159" s="133"/>
      <c r="T159" s="133"/>
      <c r="U159" s="133"/>
      <c r="V159" s="133"/>
      <c r="W159" s="133"/>
      <c r="X159" s="133"/>
      <c r="Y159" s="133"/>
      <c r="Z159" s="133"/>
      <c r="AA159" s="133"/>
      <c r="AB159" s="133"/>
    </row>
    <row r="160" spans="16:28">
      <c r="P160" s="133"/>
      <c r="Q160" s="133"/>
      <c r="R160" s="133"/>
      <c r="S160" s="133"/>
      <c r="T160" s="133"/>
      <c r="U160" s="133"/>
      <c r="V160" s="133"/>
      <c r="W160" s="133"/>
      <c r="X160" s="133"/>
      <c r="Y160" s="133"/>
      <c r="Z160" s="133"/>
      <c r="AA160" s="133"/>
      <c r="AB160" s="133"/>
    </row>
    <row r="161" spans="16:28">
      <c r="P161" s="133"/>
      <c r="Q161" s="133"/>
      <c r="R161" s="133"/>
      <c r="S161" s="133"/>
      <c r="T161" s="133"/>
      <c r="U161" s="133"/>
      <c r="V161" s="133"/>
      <c r="W161" s="133"/>
      <c r="X161" s="133"/>
      <c r="Y161" s="133"/>
      <c r="Z161" s="133"/>
      <c r="AA161" s="133"/>
      <c r="AB161" s="133"/>
    </row>
    <row r="162" spans="16:28">
      <c r="P162" s="133"/>
      <c r="Q162" s="133"/>
      <c r="R162" s="133"/>
      <c r="S162" s="133"/>
      <c r="T162" s="133"/>
      <c r="U162" s="133"/>
      <c r="V162" s="133"/>
      <c r="W162" s="133"/>
      <c r="X162" s="133"/>
      <c r="Y162" s="133"/>
      <c r="Z162" s="133"/>
      <c r="AA162" s="133"/>
      <c r="AB162" s="133"/>
    </row>
    <row r="163" spans="16:28">
      <c r="P163" s="133"/>
      <c r="Q163" s="133"/>
      <c r="R163" s="133"/>
      <c r="S163" s="133"/>
      <c r="T163" s="133"/>
      <c r="U163" s="133"/>
      <c r="V163" s="133"/>
      <c r="W163" s="133"/>
      <c r="X163" s="133"/>
      <c r="Y163" s="133"/>
      <c r="Z163" s="133"/>
      <c r="AA163" s="133"/>
      <c r="AB163" s="133"/>
    </row>
    <row r="164" spans="16:28">
      <c r="P164" s="133"/>
      <c r="Q164" s="133"/>
      <c r="R164" s="133"/>
      <c r="S164" s="133"/>
      <c r="T164" s="133"/>
      <c r="U164" s="133"/>
      <c r="V164" s="133"/>
      <c r="W164" s="133"/>
      <c r="X164" s="133"/>
      <c r="Y164" s="133"/>
      <c r="Z164" s="133"/>
      <c r="AA164" s="133"/>
      <c r="AB164" s="133"/>
    </row>
    <row r="165" spans="16:28">
      <c r="P165" s="133"/>
      <c r="Q165" s="133"/>
      <c r="R165" s="133"/>
      <c r="S165" s="133"/>
      <c r="T165" s="133"/>
      <c r="U165" s="133"/>
      <c r="V165" s="133"/>
      <c r="W165" s="133"/>
      <c r="X165" s="133"/>
      <c r="Y165" s="133"/>
      <c r="Z165" s="133"/>
      <c r="AA165" s="133"/>
      <c r="AB165" s="133"/>
    </row>
    <row r="166" spans="16:28">
      <c r="P166" s="133"/>
      <c r="Q166" s="133"/>
      <c r="R166" s="133"/>
      <c r="S166" s="133"/>
      <c r="T166" s="133"/>
      <c r="U166" s="133"/>
      <c r="V166" s="133"/>
      <c r="W166" s="133"/>
      <c r="X166" s="133"/>
      <c r="Y166" s="133"/>
      <c r="Z166" s="133"/>
      <c r="AA166" s="133"/>
      <c r="AB166" s="133"/>
    </row>
    <row r="167" spans="16:28">
      <c r="P167" s="133"/>
      <c r="Q167" s="133"/>
      <c r="R167" s="133"/>
      <c r="S167" s="133"/>
      <c r="T167" s="133"/>
      <c r="U167" s="133"/>
      <c r="V167" s="133"/>
      <c r="W167" s="133"/>
      <c r="X167" s="133"/>
      <c r="Y167" s="133"/>
      <c r="Z167" s="133"/>
      <c r="AA167" s="133"/>
      <c r="AB167" s="133"/>
    </row>
    <row r="168" spans="16:28">
      <c r="P168" s="133"/>
      <c r="Q168" s="133"/>
      <c r="R168" s="133"/>
      <c r="S168" s="133"/>
      <c r="T168" s="133"/>
      <c r="U168" s="133"/>
      <c r="V168" s="133"/>
      <c r="W168" s="133"/>
      <c r="X168" s="133"/>
      <c r="Y168" s="133"/>
      <c r="Z168" s="133"/>
      <c r="AA168" s="133"/>
      <c r="AB168" s="133"/>
    </row>
    <row r="169" spans="16:28">
      <c r="P169" s="133"/>
      <c r="Q169" s="133"/>
      <c r="R169" s="133"/>
      <c r="S169" s="133"/>
      <c r="T169" s="133"/>
      <c r="U169" s="133"/>
      <c r="V169" s="133"/>
      <c r="W169" s="133"/>
      <c r="X169" s="133"/>
      <c r="Y169" s="133"/>
      <c r="Z169" s="133"/>
      <c r="AA169" s="133"/>
      <c r="AB169" s="133"/>
    </row>
    <row r="170" spans="16:28">
      <c r="P170" s="133"/>
      <c r="Q170" s="133"/>
      <c r="R170" s="133"/>
      <c r="S170" s="133"/>
      <c r="T170" s="133"/>
      <c r="U170" s="133"/>
      <c r="V170" s="133"/>
      <c r="W170" s="133"/>
      <c r="X170" s="133"/>
      <c r="Y170" s="133"/>
      <c r="Z170" s="133"/>
      <c r="AA170" s="133"/>
      <c r="AB170" s="133"/>
    </row>
    <row r="171" spans="16:28">
      <c r="P171" s="133"/>
      <c r="Q171" s="133"/>
      <c r="R171" s="133"/>
      <c r="S171" s="133"/>
      <c r="T171" s="133"/>
      <c r="U171" s="133"/>
      <c r="V171" s="133"/>
      <c r="W171" s="133"/>
      <c r="X171" s="133"/>
      <c r="Y171" s="133"/>
      <c r="Z171" s="133"/>
      <c r="AA171" s="133"/>
      <c r="AB171" s="133"/>
    </row>
    <row r="172" spans="16:28">
      <c r="P172" s="133"/>
      <c r="Q172" s="133"/>
      <c r="R172" s="133"/>
      <c r="S172" s="133"/>
      <c r="T172" s="133"/>
      <c r="U172" s="133"/>
      <c r="V172" s="133"/>
      <c r="W172" s="133"/>
      <c r="X172" s="133"/>
      <c r="Y172" s="133"/>
      <c r="Z172" s="133"/>
      <c r="AA172" s="133"/>
      <c r="AB172" s="133"/>
    </row>
    <row r="173" spans="16:28">
      <c r="P173" s="133"/>
      <c r="Q173" s="133"/>
      <c r="R173" s="133"/>
      <c r="S173" s="133"/>
      <c r="T173" s="133"/>
      <c r="U173" s="133"/>
      <c r="V173" s="133"/>
      <c r="W173" s="133"/>
      <c r="X173" s="133"/>
      <c r="Y173" s="133"/>
      <c r="Z173" s="133"/>
      <c r="AA173" s="133"/>
      <c r="AB173" s="133"/>
    </row>
    <row r="174" spans="16:28">
      <c r="P174" s="133"/>
      <c r="Q174" s="133"/>
      <c r="R174" s="133"/>
      <c r="S174" s="133"/>
      <c r="T174" s="133"/>
      <c r="U174" s="133"/>
      <c r="V174" s="133"/>
      <c r="W174" s="133"/>
      <c r="X174" s="133"/>
      <c r="Y174" s="133"/>
      <c r="Z174" s="133"/>
      <c r="AA174" s="133"/>
      <c r="AB174" s="133"/>
    </row>
    <row r="175" spans="16:28">
      <c r="P175" s="133"/>
      <c r="Q175" s="133"/>
      <c r="R175" s="133"/>
      <c r="S175" s="133"/>
      <c r="T175" s="133"/>
      <c r="U175" s="133"/>
      <c r="V175" s="133"/>
      <c r="W175" s="133"/>
      <c r="X175" s="133"/>
      <c r="Y175" s="133"/>
      <c r="Z175" s="133"/>
      <c r="AA175" s="133"/>
      <c r="AB175" s="133"/>
    </row>
    <row r="176" spans="16:28">
      <c r="P176" s="133"/>
      <c r="Q176" s="133"/>
      <c r="R176" s="133"/>
      <c r="S176" s="133"/>
      <c r="T176" s="133"/>
      <c r="U176" s="133"/>
      <c r="V176" s="133"/>
      <c r="W176" s="133"/>
      <c r="X176" s="133"/>
      <c r="Y176" s="133"/>
      <c r="Z176" s="133"/>
      <c r="AA176" s="133"/>
      <c r="AB176" s="133"/>
    </row>
    <row r="177" spans="16:28">
      <c r="P177" s="133"/>
      <c r="Q177" s="133"/>
      <c r="R177" s="133"/>
      <c r="S177" s="133"/>
      <c r="T177" s="133"/>
      <c r="U177" s="133"/>
      <c r="V177" s="133"/>
      <c r="W177" s="133"/>
      <c r="X177" s="133"/>
      <c r="Y177" s="133"/>
      <c r="Z177" s="133"/>
      <c r="AA177" s="133"/>
      <c r="AB177" s="133"/>
    </row>
    <row r="178" spans="16:28">
      <c r="P178" s="133"/>
      <c r="Q178" s="133"/>
      <c r="R178" s="133"/>
      <c r="S178" s="133"/>
      <c r="T178" s="133"/>
      <c r="U178" s="133"/>
      <c r="V178" s="133"/>
      <c r="W178" s="133"/>
      <c r="X178" s="133"/>
      <c r="Y178" s="133"/>
      <c r="Z178" s="133"/>
      <c r="AA178" s="133"/>
      <c r="AB178" s="133"/>
    </row>
    <row r="179" spans="16:28">
      <c r="P179" s="133"/>
      <c r="Q179" s="133"/>
      <c r="R179" s="133"/>
      <c r="S179" s="133"/>
      <c r="T179" s="133"/>
      <c r="U179" s="133"/>
      <c r="V179" s="133"/>
      <c r="W179" s="133"/>
      <c r="X179" s="133"/>
      <c r="Y179" s="133"/>
      <c r="Z179" s="133"/>
      <c r="AA179" s="133"/>
      <c r="AB179" s="133"/>
    </row>
    <row r="180" spans="16:28">
      <c r="P180" s="133"/>
      <c r="Q180" s="133"/>
      <c r="R180" s="133"/>
      <c r="S180" s="133"/>
      <c r="T180" s="133"/>
      <c r="U180" s="133"/>
      <c r="V180" s="133"/>
      <c r="W180" s="133"/>
      <c r="X180" s="133"/>
      <c r="Y180" s="133"/>
      <c r="Z180" s="133"/>
      <c r="AA180" s="133"/>
      <c r="AB180" s="133"/>
    </row>
    <row r="181" spans="16:28">
      <c r="P181" s="133"/>
      <c r="Q181" s="133"/>
      <c r="R181" s="133"/>
      <c r="S181" s="133"/>
      <c r="T181" s="133"/>
      <c r="U181" s="133"/>
      <c r="V181" s="133"/>
      <c r="W181" s="133"/>
      <c r="X181" s="133"/>
      <c r="Y181" s="133"/>
      <c r="Z181" s="133"/>
      <c r="AA181" s="133"/>
      <c r="AB181" s="133"/>
    </row>
    <row r="182" spans="16:28">
      <c r="P182" s="133"/>
      <c r="Q182" s="133"/>
      <c r="R182" s="133"/>
      <c r="S182" s="133"/>
      <c r="T182" s="133"/>
      <c r="U182" s="133"/>
      <c r="V182" s="133"/>
      <c r="W182" s="133"/>
      <c r="X182" s="133"/>
      <c r="Y182" s="133"/>
      <c r="Z182" s="133"/>
      <c r="AA182" s="133"/>
      <c r="AB182" s="133"/>
    </row>
    <row r="183" spans="16:28">
      <c r="P183" s="133"/>
      <c r="Q183" s="133"/>
      <c r="R183" s="133"/>
      <c r="S183" s="133"/>
      <c r="T183" s="133"/>
      <c r="U183" s="133"/>
      <c r="V183" s="133"/>
      <c r="W183" s="133"/>
      <c r="X183" s="133"/>
      <c r="Y183" s="133"/>
      <c r="Z183" s="133"/>
      <c r="AA183" s="133"/>
      <c r="AB183" s="133"/>
    </row>
    <row r="184" spans="16:28">
      <c r="P184" s="133"/>
      <c r="Q184" s="133"/>
      <c r="R184" s="133"/>
      <c r="S184" s="133"/>
      <c r="T184" s="133"/>
      <c r="U184" s="133"/>
      <c r="V184" s="133"/>
      <c r="W184" s="133"/>
      <c r="X184" s="133"/>
      <c r="Y184" s="133"/>
      <c r="Z184" s="133"/>
      <c r="AA184" s="133"/>
      <c r="AB184" s="133"/>
    </row>
    <row r="185" spans="16:28">
      <c r="P185" s="133"/>
      <c r="Q185" s="133"/>
      <c r="R185" s="133"/>
      <c r="S185" s="133"/>
      <c r="T185" s="133"/>
      <c r="U185" s="133"/>
      <c r="V185" s="133"/>
      <c r="W185" s="133"/>
      <c r="X185" s="133"/>
      <c r="Y185" s="133"/>
      <c r="Z185" s="133"/>
      <c r="AA185" s="133"/>
      <c r="AB185" s="133"/>
    </row>
    <row r="186" spans="16:28">
      <c r="P186" s="133"/>
      <c r="Q186" s="133"/>
      <c r="R186" s="133"/>
      <c r="S186" s="133"/>
      <c r="T186" s="133"/>
      <c r="U186" s="133"/>
      <c r="V186" s="133"/>
      <c r="W186" s="133"/>
      <c r="X186" s="133"/>
      <c r="Y186" s="133"/>
      <c r="Z186" s="133"/>
      <c r="AA186" s="133"/>
      <c r="AB186" s="133"/>
    </row>
    <row r="187" spans="16:28">
      <c r="P187" s="133"/>
      <c r="Q187" s="133"/>
      <c r="R187" s="133"/>
      <c r="S187" s="133"/>
      <c r="T187" s="133"/>
      <c r="U187" s="133"/>
      <c r="V187" s="133"/>
      <c r="W187" s="133"/>
      <c r="X187" s="133"/>
      <c r="Y187" s="133"/>
      <c r="Z187" s="133"/>
      <c r="AA187" s="133"/>
      <c r="AB187" s="133"/>
    </row>
    <row r="188" spans="16:28">
      <c r="P188" s="133"/>
      <c r="Q188" s="133"/>
      <c r="R188" s="133"/>
      <c r="S188" s="133"/>
      <c r="T188" s="133"/>
      <c r="U188" s="133"/>
      <c r="V188" s="133"/>
      <c r="W188" s="133"/>
      <c r="X188" s="133"/>
      <c r="Y188" s="133"/>
      <c r="Z188" s="133"/>
      <c r="AA188" s="133"/>
      <c r="AB188" s="133"/>
    </row>
    <row r="189" spans="16:28">
      <c r="P189" s="133"/>
      <c r="Q189" s="133"/>
      <c r="R189" s="133"/>
      <c r="S189" s="133"/>
      <c r="T189" s="133"/>
      <c r="U189" s="133"/>
      <c r="V189" s="133"/>
      <c r="W189" s="133"/>
      <c r="X189" s="133"/>
      <c r="Y189" s="133"/>
      <c r="Z189" s="133"/>
      <c r="AA189" s="133"/>
      <c r="AB189" s="133"/>
    </row>
    <row r="190" spans="16:28">
      <c r="P190" s="133"/>
      <c r="Q190" s="133"/>
      <c r="R190" s="133"/>
      <c r="S190" s="133"/>
      <c r="T190" s="133"/>
      <c r="U190" s="133"/>
      <c r="V190" s="133"/>
      <c r="W190" s="133"/>
      <c r="X190" s="133"/>
      <c r="Y190" s="133"/>
      <c r="Z190" s="133"/>
      <c r="AA190" s="133"/>
      <c r="AB190" s="133"/>
    </row>
    <row r="191" spans="16:28">
      <c r="P191" s="133"/>
      <c r="Q191" s="133"/>
      <c r="R191" s="133"/>
      <c r="S191" s="133"/>
      <c r="T191" s="133"/>
      <c r="U191" s="133"/>
      <c r="V191" s="133"/>
      <c r="W191" s="133"/>
      <c r="X191" s="133"/>
      <c r="Y191" s="133"/>
      <c r="Z191" s="133"/>
      <c r="AA191" s="133"/>
      <c r="AB191" s="133"/>
    </row>
    <row r="192" spans="16:28">
      <c r="P192" s="133"/>
      <c r="Q192" s="133"/>
      <c r="R192" s="133"/>
      <c r="S192" s="133"/>
      <c r="T192" s="133"/>
      <c r="U192" s="133"/>
      <c r="V192" s="133"/>
      <c r="W192" s="133"/>
      <c r="X192" s="133"/>
      <c r="Y192" s="133"/>
      <c r="Z192" s="133"/>
      <c r="AA192" s="133"/>
      <c r="AB192" s="133"/>
    </row>
    <row r="193" spans="16:28">
      <c r="P193" s="133"/>
      <c r="Q193" s="133"/>
      <c r="R193" s="133"/>
      <c r="S193" s="133"/>
      <c r="T193" s="133"/>
      <c r="U193" s="133"/>
      <c r="V193" s="133"/>
      <c r="W193" s="133"/>
      <c r="X193" s="133"/>
      <c r="Y193" s="133"/>
      <c r="Z193" s="133"/>
      <c r="AA193" s="133"/>
      <c r="AB193" s="133"/>
    </row>
    <row r="194" spans="16:28">
      <c r="P194" s="133"/>
      <c r="Q194" s="133"/>
      <c r="R194" s="133"/>
      <c r="S194" s="133"/>
      <c r="T194" s="133"/>
      <c r="U194" s="133"/>
      <c r="V194" s="133"/>
      <c r="W194" s="133"/>
      <c r="X194" s="133"/>
      <c r="Y194" s="133"/>
      <c r="Z194" s="133"/>
      <c r="AA194" s="133"/>
      <c r="AB194" s="133"/>
    </row>
  </sheetData>
  <mergeCells count="22">
    <mergeCell ref="B45:J45"/>
    <mergeCell ref="O8:O10"/>
    <mergeCell ref="J8:J10"/>
    <mergeCell ref="M8:M10"/>
    <mergeCell ref="N8:N10"/>
    <mergeCell ref="I8:I10"/>
    <mergeCell ref="A1:O1"/>
    <mergeCell ref="A2:O2"/>
    <mergeCell ref="J6:M6"/>
    <mergeCell ref="N6:O6"/>
    <mergeCell ref="A7:A10"/>
    <mergeCell ref="B7:B10"/>
    <mergeCell ref="C7:C10"/>
    <mergeCell ref="D7:D10"/>
    <mergeCell ref="E7:J7"/>
    <mergeCell ref="K7:O7"/>
    <mergeCell ref="E8:E10"/>
    <mergeCell ref="F8:F10"/>
    <mergeCell ref="G8:G10"/>
    <mergeCell ref="H8:H10"/>
    <mergeCell ref="K8:K10"/>
    <mergeCell ref="L8:L10"/>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76"/>
  <sheetViews>
    <sheetView workbookViewId="0">
      <selection activeCell="K26" sqref="K26"/>
    </sheetView>
  </sheetViews>
  <sheetFormatPr defaultColWidth="9.140625" defaultRowHeight="12.75"/>
  <cols>
    <col min="1" max="1" width="6.5703125" style="117" customWidth="1"/>
    <col min="2" max="2" width="36.28515625" style="117" customWidth="1"/>
    <col min="3" max="3" width="6.7109375" style="117" customWidth="1"/>
    <col min="4" max="4" width="7.140625" style="117" customWidth="1"/>
    <col min="5" max="9" width="8.28515625" style="117" customWidth="1"/>
    <col min="10" max="10" width="8.7109375" style="117" customWidth="1"/>
    <col min="11" max="14" width="9.28515625" style="117" customWidth="1"/>
    <col min="15" max="15" width="11.28515625" style="117" customWidth="1"/>
    <col min="16" max="16" width="11.7109375" style="117" bestFit="1" customWidth="1"/>
    <col min="17" max="17" width="11.7109375" style="192" bestFit="1" customWidth="1"/>
    <col min="18" max="16384" width="9.140625" style="117"/>
  </cols>
  <sheetData>
    <row r="1" spans="1:26" s="102" customFormat="1" ht="14.25">
      <c r="A1" s="396" t="s">
        <v>89</v>
      </c>
      <c r="B1" s="396"/>
      <c r="C1" s="396"/>
      <c r="D1" s="396"/>
      <c r="E1" s="396"/>
      <c r="F1" s="396"/>
      <c r="G1" s="396"/>
      <c r="H1" s="396"/>
      <c r="I1" s="396"/>
      <c r="J1" s="396"/>
      <c r="K1" s="396"/>
      <c r="L1" s="396"/>
      <c r="M1" s="396"/>
      <c r="N1" s="396"/>
      <c r="O1" s="396"/>
      <c r="Q1" s="176"/>
    </row>
    <row r="2" spans="1:26" s="102" customFormat="1" ht="14.25">
      <c r="A2" s="397" t="str">
        <f>Kopsavilkums!C18</f>
        <v>Logi, vārti un durvis</v>
      </c>
      <c r="B2" s="397"/>
      <c r="C2" s="397"/>
      <c r="D2" s="397"/>
      <c r="E2" s="397"/>
      <c r="F2" s="397"/>
      <c r="G2" s="397"/>
      <c r="H2" s="397"/>
      <c r="I2" s="397"/>
      <c r="J2" s="397"/>
      <c r="K2" s="397"/>
      <c r="L2" s="397"/>
      <c r="M2" s="397"/>
      <c r="N2" s="397"/>
      <c r="O2" s="397"/>
      <c r="Q2" s="176"/>
    </row>
    <row r="3" spans="1:26" s="102" customFormat="1" ht="14.25">
      <c r="A3" s="115" t="s">
        <v>1246</v>
      </c>
      <c r="B3" s="177"/>
      <c r="C3" s="177"/>
      <c r="D3" s="177"/>
      <c r="E3" s="177"/>
      <c r="F3" s="177"/>
      <c r="G3" s="177"/>
      <c r="H3" s="177"/>
      <c r="I3" s="177"/>
      <c r="J3" s="177"/>
      <c r="K3" s="177"/>
      <c r="L3" s="177"/>
      <c r="M3" s="177"/>
      <c r="N3" s="177"/>
      <c r="O3" s="177"/>
      <c r="Q3" s="176"/>
    </row>
    <row r="4" spans="1:26" s="102" customFormat="1" ht="14.25">
      <c r="A4" s="115" t="s">
        <v>307</v>
      </c>
      <c r="B4" s="177"/>
      <c r="C4" s="177"/>
      <c r="D4" s="177"/>
      <c r="E4" s="177"/>
      <c r="F4" s="177"/>
      <c r="G4" s="177"/>
      <c r="H4" s="177"/>
      <c r="I4" s="177"/>
      <c r="J4" s="177"/>
      <c r="K4" s="177"/>
      <c r="L4" s="177"/>
      <c r="M4" s="177"/>
      <c r="N4" s="177"/>
      <c r="O4" s="177"/>
      <c r="Q4" s="176"/>
    </row>
    <row r="5" spans="1:26" s="102" customFormat="1" ht="14.25">
      <c r="A5" s="115" t="s">
        <v>306</v>
      </c>
      <c r="B5" s="177"/>
      <c r="C5" s="177"/>
      <c r="D5" s="177"/>
      <c r="E5" s="177"/>
      <c r="F5" s="177"/>
      <c r="G5" s="177"/>
      <c r="H5" s="177"/>
      <c r="I5" s="177"/>
      <c r="J5" s="177"/>
      <c r="K5" s="177"/>
      <c r="L5" s="177"/>
      <c r="M5" s="177"/>
      <c r="N5" s="177"/>
      <c r="O5" s="177"/>
      <c r="Q5" s="176"/>
    </row>
    <row r="6" spans="1:26" ht="13.5" thickBot="1">
      <c r="E6" s="133"/>
      <c r="F6" s="133"/>
      <c r="G6" s="133"/>
      <c r="H6" s="133"/>
      <c r="I6" s="133"/>
      <c r="J6" s="398" t="s">
        <v>13</v>
      </c>
      <c r="K6" s="398"/>
      <c r="L6" s="398"/>
      <c r="M6" s="398"/>
      <c r="N6" s="404" t="e">
        <f>#REF!</f>
        <v>#REF!</v>
      </c>
      <c r="O6" s="404"/>
    </row>
    <row r="7" spans="1:26" s="133" customFormat="1" ht="12.75" customHeight="1">
      <c r="A7" s="378" t="s">
        <v>27</v>
      </c>
      <c r="B7" s="381" t="s">
        <v>28</v>
      </c>
      <c r="C7" s="381" t="s">
        <v>17</v>
      </c>
      <c r="D7" s="381" t="s">
        <v>19</v>
      </c>
      <c r="E7" s="390" t="s">
        <v>15</v>
      </c>
      <c r="F7" s="391"/>
      <c r="G7" s="391"/>
      <c r="H7" s="391"/>
      <c r="I7" s="391"/>
      <c r="J7" s="392"/>
      <c r="K7" s="390" t="s">
        <v>16</v>
      </c>
      <c r="L7" s="391"/>
      <c r="M7" s="391"/>
      <c r="N7" s="391"/>
      <c r="O7" s="393"/>
      <c r="Q7" s="193"/>
    </row>
    <row r="8" spans="1:26"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c r="Q8" s="193"/>
    </row>
    <row r="9" spans="1:26" s="133" customFormat="1">
      <c r="A9" s="379"/>
      <c r="B9" s="382"/>
      <c r="C9" s="382"/>
      <c r="D9" s="382"/>
      <c r="E9" s="394"/>
      <c r="F9" s="376"/>
      <c r="G9" s="376"/>
      <c r="H9" s="376"/>
      <c r="I9" s="376"/>
      <c r="J9" s="373"/>
      <c r="K9" s="376"/>
      <c r="L9" s="376"/>
      <c r="M9" s="376"/>
      <c r="N9" s="376"/>
      <c r="O9" s="385"/>
      <c r="Q9" s="193"/>
    </row>
    <row r="10" spans="1:26" s="133" customFormat="1">
      <c r="A10" s="379"/>
      <c r="B10" s="382"/>
      <c r="C10" s="382"/>
      <c r="D10" s="382"/>
      <c r="E10" s="394"/>
      <c r="F10" s="376"/>
      <c r="G10" s="376"/>
      <c r="H10" s="376"/>
      <c r="I10" s="376"/>
      <c r="J10" s="373"/>
      <c r="K10" s="376"/>
      <c r="L10" s="376"/>
      <c r="M10" s="376"/>
      <c r="N10" s="376"/>
      <c r="O10" s="385"/>
      <c r="Q10" s="193"/>
    </row>
    <row r="11" spans="1:26" s="133" customFormat="1" ht="13.5" thickBot="1">
      <c r="A11" s="380"/>
      <c r="B11" s="383"/>
      <c r="C11" s="383"/>
      <c r="D11" s="383"/>
      <c r="E11" s="395"/>
      <c r="F11" s="377"/>
      <c r="G11" s="377"/>
      <c r="H11" s="377"/>
      <c r="I11" s="377"/>
      <c r="J11" s="374"/>
      <c r="K11" s="377"/>
      <c r="L11" s="377"/>
      <c r="M11" s="377"/>
      <c r="N11" s="377"/>
      <c r="O11" s="386"/>
      <c r="Q11" s="193"/>
    </row>
    <row r="12" spans="1:26" s="133" customFormat="1" ht="14.25" thickTop="1" thickBot="1">
      <c r="A12" s="52">
        <v>1</v>
      </c>
      <c r="B12" s="53">
        <v>2</v>
      </c>
      <c r="C12" s="53">
        <v>3</v>
      </c>
      <c r="D12" s="53">
        <v>4</v>
      </c>
      <c r="E12" s="53">
        <v>5</v>
      </c>
      <c r="F12" s="53">
        <v>6</v>
      </c>
      <c r="G12" s="53">
        <v>7</v>
      </c>
      <c r="H12" s="53">
        <v>8</v>
      </c>
      <c r="I12" s="53">
        <v>9</v>
      </c>
      <c r="J12" s="54">
        <v>10</v>
      </c>
      <c r="K12" s="53">
        <v>11</v>
      </c>
      <c r="L12" s="54">
        <v>12</v>
      </c>
      <c r="M12" s="53">
        <v>13</v>
      </c>
      <c r="N12" s="54">
        <v>14</v>
      </c>
      <c r="O12" s="55">
        <v>15</v>
      </c>
      <c r="Q12" s="193"/>
    </row>
    <row r="13" spans="1:26" s="197" customFormat="1" ht="24.75" thickTop="1">
      <c r="A13" s="106">
        <v>1</v>
      </c>
      <c r="B13" s="225" t="s">
        <v>1428</v>
      </c>
      <c r="C13" s="128" t="s">
        <v>14</v>
      </c>
      <c r="D13" s="1">
        <f>16</f>
        <v>16</v>
      </c>
      <c r="E13" s="33"/>
      <c r="F13" s="33"/>
      <c r="G13" s="4"/>
      <c r="H13" s="4"/>
      <c r="I13" s="4"/>
      <c r="J13" s="337"/>
      <c r="K13" s="338"/>
      <c r="L13" s="338"/>
      <c r="M13" s="338"/>
      <c r="N13" s="338"/>
      <c r="O13" s="339"/>
      <c r="P13" s="195"/>
      <c r="Q13" s="195"/>
      <c r="R13" s="196"/>
      <c r="S13" s="196"/>
      <c r="T13" s="196"/>
      <c r="U13" s="196"/>
      <c r="V13" s="196"/>
      <c r="W13" s="196"/>
      <c r="X13" s="196"/>
      <c r="Y13" s="196"/>
      <c r="Z13" s="196"/>
    </row>
    <row r="14" spans="1:26" s="197" customFormat="1" ht="24">
      <c r="A14" s="106">
        <f t="shared" ref="A14:A15" si="0">A13+1</f>
        <v>2</v>
      </c>
      <c r="B14" s="225" t="s">
        <v>1432</v>
      </c>
      <c r="C14" s="13" t="s">
        <v>30</v>
      </c>
      <c r="D14" s="10">
        <v>1</v>
      </c>
      <c r="E14" s="132"/>
      <c r="F14" s="33"/>
      <c r="G14" s="4"/>
      <c r="H14" s="4"/>
      <c r="I14" s="4"/>
      <c r="J14" s="337"/>
      <c r="K14" s="338"/>
      <c r="L14" s="338"/>
      <c r="M14" s="338"/>
      <c r="N14" s="338"/>
      <c r="O14" s="339"/>
      <c r="P14" s="196"/>
      <c r="Q14" s="196"/>
      <c r="R14" s="196"/>
      <c r="S14" s="196"/>
      <c r="T14" s="196"/>
      <c r="U14" s="196"/>
      <c r="V14" s="196"/>
      <c r="W14" s="196"/>
      <c r="X14" s="196"/>
      <c r="Y14" s="196"/>
      <c r="Z14" s="196"/>
    </row>
    <row r="15" spans="1:26" s="198" customFormat="1" ht="12" customHeight="1">
      <c r="A15" s="106">
        <f t="shared" si="0"/>
        <v>3</v>
      </c>
      <c r="B15" s="49" t="s">
        <v>1154</v>
      </c>
      <c r="C15" s="13" t="s">
        <v>30</v>
      </c>
      <c r="D15" s="10">
        <v>2</v>
      </c>
      <c r="E15" s="4"/>
      <c r="F15" s="33"/>
      <c r="G15" s="4"/>
      <c r="H15" s="4"/>
      <c r="I15" s="4"/>
      <c r="J15" s="337"/>
      <c r="K15" s="338"/>
      <c r="L15" s="338"/>
      <c r="M15" s="338"/>
      <c r="N15" s="338"/>
      <c r="O15" s="339"/>
    </row>
    <row r="16" spans="1:26" s="198" customFormat="1" ht="12" customHeight="1">
      <c r="A16" s="19" t="s">
        <v>1376</v>
      </c>
      <c r="B16" s="24" t="s">
        <v>1156</v>
      </c>
      <c r="C16" s="13" t="s">
        <v>30</v>
      </c>
      <c r="D16" s="10">
        <v>2</v>
      </c>
      <c r="E16" s="4"/>
      <c r="F16" s="4"/>
      <c r="G16" s="4"/>
      <c r="H16" s="4"/>
      <c r="I16" s="4"/>
      <c r="J16" s="337"/>
      <c r="K16" s="338"/>
      <c r="L16" s="338"/>
      <c r="M16" s="338"/>
      <c r="N16" s="338"/>
      <c r="O16" s="339"/>
      <c r="P16" s="199"/>
      <c r="Q16" s="199"/>
    </row>
    <row r="17" spans="1:26" s="198" customFormat="1" ht="12" customHeight="1">
      <c r="A17" s="19" t="s">
        <v>1377</v>
      </c>
      <c r="B17" s="24" t="s">
        <v>146</v>
      </c>
      <c r="C17" s="13" t="s">
        <v>30</v>
      </c>
      <c r="D17" s="10">
        <v>2</v>
      </c>
      <c r="E17" s="4"/>
      <c r="F17" s="4"/>
      <c r="G17" s="4"/>
      <c r="H17" s="4"/>
      <c r="I17" s="4"/>
      <c r="J17" s="337"/>
      <c r="K17" s="338"/>
      <c r="L17" s="338"/>
      <c r="M17" s="338"/>
      <c r="N17" s="338"/>
      <c r="O17" s="339"/>
      <c r="P17" s="199"/>
      <c r="Q17" s="199"/>
    </row>
    <row r="18" spans="1:26" s="198" customFormat="1" ht="12" customHeight="1">
      <c r="A18" s="19" t="s">
        <v>1378</v>
      </c>
      <c r="B18" s="24" t="s">
        <v>147</v>
      </c>
      <c r="C18" s="13" t="s">
        <v>30</v>
      </c>
      <c r="D18" s="10">
        <v>2</v>
      </c>
      <c r="E18" s="4"/>
      <c r="F18" s="4"/>
      <c r="G18" s="4"/>
      <c r="H18" s="4"/>
      <c r="I18" s="4"/>
      <c r="J18" s="337"/>
      <c r="K18" s="338"/>
      <c r="L18" s="338"/>
      <c r="M18" s="338"/>
      <c r="N18" s="338"/>
      <c r="O18" s="339"/>
      <c r="P18" s="199"/>
      <c r="Q18" s="199"/>
    </row>
    <row r="19" spans="1:26" s="198" customFormat="1" ht="12" customHeight="1">
      <c r="A19" s="106">
        <v>4</v>
      </c>
      <c r="B19" s="49" t="s">
        <v>1155</v>
      </c>
      <c r="C19" s="13" t="s">
        <v>30</v>
      </c>
      <c r="D19" s="10">
        <v>1</v>
      </c>
      <c r="E19" s="4"/>
      <c r="F19" s="33"/>
      <c r="G19" s="4"/>
      <c r="H19" s="4"/>
      <c r="I19" s="4"/>
      <c r="J19" s="337"/>
      <c r="K19" s="338"/>
      <c r="L19" s="338"/>
      <c r="M19" s="338"/>
      <c r="N19" s="338"/>
      <c r="O19" s="339"/>
    </row>
    <row r="20" spans="1:26" s="198" customFormat="1" ht="12" customHeight="1">
      <c r="A20" s="19" t="s">
        <v>1419</v>
      </c>
      <c r="B20" s="24" t="s">
        <v>1157</v>
      </c>
      <c r="C20" s="13" t="s">
        <v>30</v>
      </c>
      <c r="D20" s="10">
        <v>1</v>
      </c>
      <c r="E20" s="4"/>
      <c r="F20" s="4"/>
      <c r="G20" s="4"/>
      <c r="H20" s="4"/>
      <c r="I20" s="4"/>
      <c r="J20" s="337"/>
      <c r="K20" s="338"/>
      <c r="L20" s="338"/>
      <c r="M20" s="338"/>
      <c r="N20" s="338"/>
      <c r="O20" s="339"/>
      <c r="P20" s="199"/>
      <c r="Q20" s="199"/>
    </row>
    <row r="21" spans="1:26" s="198" customFormat="1" ht="12" customHeight="1">
      <c r="A21" s="19" t="s">
        <v>1420</v>
      </c>
      <c r="B21" s="24" t="s">
        <v>146</v>
      </c>
      <c r="C21" s="13" t="s">
        <v>30</v>
      </c>
      <c r="D21" s="10">
        <v>1</v>
      </c>
      <c r="E21" s="4"/>
      <c r="F21" s="4"/>
      <c r="G21" s="4"/>
      <c r="H21" s="4"/>
      <c r="I21" s="4"/>
      <c r="J21" s="337"/>
      <c r="K21" s="338"/>
      <c r="L21" s="338"/>
      <c r="M21" s="338"/>
      <c r="N21" s="338"/>
      <c r="O21" s="339"/>
      <c r="P21" s="199"/>
      <c r="Q21" s="199"/>
    </row>
    <row r="22" spans="1:26" s="198" customFormat="1" ht="12" customHeight="1" thickBot="1">
      <c r="A22" s="19" t="s">
        <v>1427</v>
      </c>
      <c r="B22" s="24" t="s">
        <v>147</v>
      </c>
      <c r="C22" s="13" t="s">
        <v>30</v>
      </c>
      <c r="D22" s="10">
        <v>1</v>
      </c>
      <c r="E22" s="4"/>
      <c r="F22" s="4"/>
      <c r="G22" s="4"/>
      <c r="H22" s="4"/>
      <c r="I22" s="4"/>
      <c r="J22" s="337"/>
      <c r="K22" s="338"/>
      <c r="L22" s="338"/>
      <c r="M22" s="338"/>
      <c r="N22" s="338"/>
      <c r="O22" s="339"/>
      <c r="P22" s="199"/>
      <c r="Q22" s="199"/>
    </row>
    <row r="23" spans="1:26" s="102" customFormat="1" ht="15.75" thickTop="1" thickBot="1">
      <c r="A23" s="181"/>
      <c r="B23" s="400" t="s">
        <v>1587</v>
      </c>
      <c r="C23" s="401"/>
      <c r="D23" s="401"/>
      <c r="E23" s="401"/>
      <c r="F23" s="401"/>
      <c r="G23" s="401"/>
      <c r="H23" s="401"/>
      <c r="I23" s="401"/>
      <c r="J23" s="402"/>
      <c r="K23" s="182"/>
      <c r="L23" s="182"/>
      <c r="M23" s="182"/>
      <c r="N23" s="182"/>
      <c r="O23" s="183"/>
      <c r="P23" s="25"/>
      <c r="Q23" s="25"/>
      <c r="R23" s="25"/>
      <c r="S23" s="25"/>
      <c r="T23" s="25"/>
      <c r="U23" s="25"/>
      <c r="V23" s="25"/>
      <c r="W23" s="25"/>
      <c r="X23" s="25"/>
      <c r="Y23" s="25"/>
      <c r="Z23" s="25"/>
    </row>
    <row r="24" spans="1:26" s="102" customFormat="1" ht="15" thickTop="1">
      <c r="B24" s="200"/>
      <c r="P24" s="25"/>
      <c r="Q24" s="25"/>
      <c r="R24" s="25"/>
      <c r="S24" s="25"/>
      <c r="T24" s="25"/>
      <c r="U24" s="25"/>
      <c r="V24" s="25"/>
      <c r="W24" s="25"/>
      <c r="X24" s="25"/>
      <c r="Y24" s="25"/>
      <c r="Z24" s="25"/>
    </row>
    <row r="25" spans="1:26" s="102" customFormat="1" ht="14.25">
      <c r="B25" s="184"/>
      <c r="P25" s="25"/>
      <c r="Q25" s="25"/>
      <c r="R25" s="25"/>
      <c r="S25" s="25"/>
      <c r="T25" s="25"/>
      <c r="U25" s="25"/>
      <c r="V25" s="25"/>
      <c r="W25" s="25"/>
      <c r="X25" s="25"/>
      <c r="Y25" s="25"/>
      <c r="Z25" s="25"/>
    </row>
    <row r="26" spans="1:26" s="102" customFormat="1" ht="14.25">
      <c r="A26" s="117"/>
      <c r="B26" s="172" t="s">
        <v>209</v>
      </c>
      <c r="C26" s="117"/>
      <c r="D26" s="117"/>
      <c r="E26" s="117"/>
      <c r="F26" s="117"/>
      <c r="G26" s="117"/>
      <c r="H26" s="117"/>
      <c r="P26" s="25"/>
      <c r="Q26" s="170"/>
      <c r="R26" s="25"/>
      <c r="S26" s="25"/>
      <c r="T26" s="25"/>
      <c r="U26" s="25"/>
      <c r="V26" s="25"/>
      <c r="W26" s="25"/>
      <c r="X26" s="25"/>
      <c r="Y26" s="25"/>
      <c r="Z26" s="25"/>
    </row>
    <row r="27" spans="1:26" s="102" customFormat="1" ht="14.25">
      <c r="A27" s="117"/>
      <c r="B27" s="172"/>
      <c r="C27" s="117"/>
      <c r="D27" s="117"/>
      <c r="E27" s="117"/>
      <c r="F27" s="117"/>
      <c r="G27" s="117"/>
      <c r="H27" s="117"/>
      <c r="P27" s="25"/>
      <c r="Q27" s="170"/>
      <c r="R27" s="25"/>
      <c r="S27" s="25"/>
      <c r="T27" s="25"/>
      <c r="U27" s="25"/>
      <c r="V27" s="25"/>
      <c r="W27" s="25"/>
      <c r="X27" s="25"/>
      <c r="Y27" s="25"/>
      <c r="Z27" s="25"/>
    </row>
    <row r="28" spans="1:26" s="102" customFormat="1" ht="14.25">
      <c r="B28" s="92">
        <f ca="1">TODAY()</f>
        <v>43206</v>
      </c>
      <c r="P28" s="25"/>
      <c r="Q28" s="25"/>
      <c r="R28" s="25"/>
      <c r="S28" s="25"/>
      <c r="T28" s="25"/>
      <c r="U28" s="25"/>
      <c r="V28" s="25"/>
      <c r="W28" s="25"/>
      <c r="X28" s="25"/>
      <c r="Y28" s="25"/>
      <c r="Z28" s="25"/>
    </row>
    <row r="29" spans="1:26" s="102" customFormat="1" ht="14.25">
      <c r="P29" s="25"/>
      <c r="Q29" s="25"/>
      <c r="R29" s="25"/>
      <c r="S29" s="25"/>
      <c r="T29" s="25"/>
      <c r="U29" s="25"/>
      <c r="V29" s="25"/>
      <c r="W29" s="25"/>
      <c r="X29" s="25"/>
      <c r="Y29" s="25"/>
      <c r="Z29" s="25"/>
    </row>
    <row r="30" spans="1:26" s="102" customFormat="1" ht="14.25">
      <c r="B30" s="220" t="s">
        <v>1358</v>
      </c>
      <c r="C30" s="220"/>
      <c r="D30" s="220"/>
      <c r="E30" s="220"/>
      <c r="F30" s="220"/>
      <c r="G30" s="220"/>
      <c r="H30" s="220"/>
      <c r="I30" s="220"/>
      <c r="P30" s="25"/>
      <c r="Q30" s="170"/>
      <c r="R30" s="25"/>
      <c r="S30" s="25"/>
      <c r="T30" s="25"/>
      <c r="U30" s="25"/>
      <c r="V30" s="25"/>
      <c r="W30" s="25"/>
      <c r="X30" s="25"/>
      <c r="Y30" s="25"/>
      <c r="Z30" s="25"/>
    </row>
    <row r="31" spans="1:26" s="102" customFormat="1" ht="14.25">
      <c r="B31" s="220" t="s">
        <v>1429</v>
      </c>
      <c r="C31" s="220"/>
      <c r="D31" s="220"/>
      <c r="E31" s="220"/>
      <c r="F31" s="220"/>
      <c r="G31" s="220"/>
      <c r="H31" s="220"/>
      <c r="I31" s="220"/>
      <c r="P31" s="25"/>
      <c r="Q31" s="170"/>
      <c r="R31" s="25"/>
      <c r="S31" s="25"/>
      <c r="T31" s="25"/>
      <c r="U31" s="25"/>
      <c r="V31" s="25"/>
      <c r="W31" s="25"/>
      <c r="X31" s="25"/>
      <c r="Y31" s="25"/>
      <c r="Z31" s="25"/>
    </row>
    <row r="32" spans="1:26" s="102" customFormat="1" ht="14.25">
      <c r="A32" s="117"/>
      <c r="B32" s="220" t="s">
        <v>1430</v>
      </c>
      <c r="C32" s="220"/>
      <c r="D32" s="220"/>
      <c r="E32" s="220"/>
      <c r="F32" s="220"/>
      <c r="G32" s="220"/>
      <c r="H32" s="220"/>
      <c r="I32" s="220"/>
      <c r="J32" s="117"/>
      <c r="K32" s="117"/>
      <c r="L32" s="117"/>
      <c r="M32" s="117"/>
      <c r="N32" s="117"/>
      <c r="O32" s="117"/>
      <c r="P32" s="25"/>
      <c r="Q32" s="170"/>
      <c r="R32" s="25"/>
      <c r="S32" s="25"/>
      <c r="T32" s="25"/>
      <c r="U32" s="25"/>
      <c r="V32" s="25"/>
      <c r="W32" s="25"/>
      <c r="X32" s="25"/>
      <c r="Y32" s="25"/>
      <c r="Z32" s="25"/>
    </row>
    <row r="33" spans="1:26" s="102" customFormat="1" ht="14.25">
      <c r="A33" s="117"/>
      <c r="B33" s="220" t="s">
        <v>1431</v>
      </c>
      <c r="C33" s="220"/>
      <c r="D33" s="220"/>
      <c r="E33" s="220"/>
      <c r="F33" s="220"/>
      <c r="G33" s="220"/>
      <c r="H33" s="220"/>
      <c r="I33" s="220"/>
      <c r="J33" s="117"/>
      <c r="K33" s="117"/>
      <c r="L33" s="117"/>
      <c r="M33" s="117"/>
      <c r="N33" s="117"/>
      <c r="O33" s="117"/>
      <c r="P33" s="25"/>
      <c r="Q33" s="170"/>
      <c r="R33" s="25"/>
      <c r="S33" s="25"/>
      <c r="T33" s="25"/>
      <c r="U33" s="25"/>
      <c r="V33" s="25"/>
      <c r="W33" s="25"/>
      <c r="X33" s="25"/>
      <c r="Y33" s="25"/>
      <c r="Z33" s="25"/>
    </row>
    <row r="34" spans="1:26">
      <c r="P34" s="133"/>
      <c r="Q34" s="193"/>
      <c r="R34" s="133"/>
      <c r="S34" s="133"/>
      <c r="T34" s="133"/>
      <c r="U34" s="133"/>
      <c r="V34" s="133"/>
      <c r="W34" s="133"/>
      <c r="X34" s="133"/>
      <c r="Y34" s="133"/>
      <c r="Z34" s="133"/>
    </row>
    <row r="35" spans="1:26">
      <c r="P35" s="133"/>
      <c r="Q35" s="193"/>
      <c r="R35" s="133"/>
      <c r="S35" s="133"/>
      <c r="T35" s="133"/>
      <c r="U35" s="133"/>
      <c r="V35" s="133"/>
      <c r="W35" s="133"/>
      <c r="X35" s="133"/>
      <c r="Y35" s="133"/>
      <c r="Z35" s="133"/>
    </row>
    <row r="36" spans="1:26">
      <c r="P36" s="133"/>
      <c r="Q36" s="193"/>
      <c r="R36" s="133"/>
      <c r="S36" s="133"/>
      <c r="T36" s="133"/>
      <c r="U36" s="133"/>
      <c r="V36" s="133"/>
      <c r="W36" s="133"/>
      <c r="X36" s="133"/>
      <c r="Y36" s="133"/>
      <c r="Z36" s="133"/>
    </row>
    <row r="37" spans="1:26">
      <c r="P37" s="133"/>
      <c r="Q37" s="193"/>
      <c r="R37" s="133"/>
      <c r="S37" s="133"/>
      <c r="T37" s="133"/>
      <c r="U37" s="133"/>
      <c r="V37" s="133"/>
      <c r="W37" s="133"/>
      <c r="X37" s="133"/>
      <c r="Y37" s="133"/>
      <c r="Z37" s="133"/>
    </row>
    <row r="38" spans="1:26">
      <c r="P38" s="133"/>
      <c r="Q38" s="193"/>
      <c r="R38" s="133"/>
      <c r="S38" s="133"/>
      <c r="T38" s="133"/>
      <c r="U38" s="133"/>
      <c r="V38" s="133"/>
      <c r="W38" s="133"/>
      <c r="X38" s="133"/>
      <c r="Y38" s="133"/>
      <c r="Z38" s="133"/>
    </row>
    <row r="39" spans="1:26">
      <c r="P39" s="133"/>
      <c r="Q39" s="193"/>
      <c r="R39" s="133"/>
      <c r="S39" s="133"/>
      <c r="T39" s="133"/>
      <c r="U39" s="133"/>
      <c r="V39" s="133"/>
      <c r="W39" s="133"/>
      <c r="X39" s="133"/>
      <c r="Y39" s="133"/>
      <c r="Z39" s="133"/>
    </row>
    <row r="40" spans="1:26">
      <c r="P40" s="133"/>
      <c r="Q40" s="193"/>
      <c r="R40" s="133"/>
      <c r="S40" s="133"/>
      <c r="T40" s="133"/>
      <c r="U40" s="133"/>
      <c r="V40" s="133"/>
      <c r="W40" s="133"/>
      <c r="X40" s="133"/>
      <c r="Y40" s="133"/>
      <c r="Z40" s="133"/>
    </row>
    <row r="41" spans="1:26">
      <c r="P41" s="133"/>
      <c r="Q41" s="193"/>
      <c r="R41" s="133"/>
      <c r="S41" s="133"/>
      <c r="T41" s="133"/>
      <c r="U41" s="133"/>
      <c r="V41" s="133"/>
      <c r="W41" s="133"/>
      <c r="X41" s="133"/>
      <c r="Y41" s="133"/>
      <c r="Z41" s="133"/>
    </row>
    <row r="42" spans="1:26">
      <c r="P42" s="133"/>
      <c r="Q42" s="193"/>
      <c r="R42" s="133"/>
      <c r="S42" s="133"/>
      <c r="T42" s="133"/>
      <c r="U42" s="133"/>
      <c r="V42" s="133"/>
      <c r="W42" s="133"/>
      <c r="X42" s="133"/>
      <c r="Y42" s="133"/>
      <c r="Z42" s="133"/>
    </row>
    <row r="43" spans="1:26">
      <c r="P43" s="133"/>
      <c r="Q43" s="193"/>
      <c r="R43" s="133"/>
      <c r="S43" s="133"/>
      <c r="T43" s="133"/>
      <c r="U43" s="133"/>
      <c r="V43" s="133"/>
      <c r="W43" s="133"/>
      <c r="X43" s="133"/>
      <c r="Y43" s="133"/>
      <c r="Z43" s="133"/>
    </row>
    <row r="44" spans="1:26">
      <c r="P44" s="133"/>
      <c r="Q44" s="193"/>
      <c r="R44" s="133"/>
      <c r="S44" s="133"/>
      <c r="T44" s="133"/>
      <c r="U44" s="133"/>
      <c r="V44" s="133"/>
      <c r="W44" s="133"/>
      <c r="X44" s="133"/>
      <c r="Y44" s="133"/>
      <c r="Z44" s="133"/>
    </row>
    <row r="45" spans="1:26">
      <c r="P45" s="133"/>
      <c r="Q45" s="193"/>
      <c r="R45" s="133"/>
      <c r="S45" s="133"/>
      <c r="T45" s="133"/>
      <c r="U45" s="133"/>
      <c r="V45" s="133"/>
      <c r="W45" s="133"/>
      <c r="X45" s="133"/>
      <c r="Y45" s="133"/>
      <c r="Z45" s="133"/>
    </row>
    <row r="46" spans="1:26">
      <c r="P46" s="133"/>
      <c r="Q46" s="193"/>
      <c r="R46" s="133"/>
      <c r="S46" s="133"/>
      <c r="T46" s="133"/>
      <c r="U46" s="133"/>
      <c r="V46" s="133"/>
      <c r="W46" s="133"/>
      <c r="X46" s="133"/>
      <c r="Y46" s="133"/>
      <c r="Z46" s="133"/>
    </row>
    <row r="47" spans="1:26">
      <c r="P47" s="133"/>
      <c r="Q47" s="193"/>
      <c r="R47" s="133"/>
      <c r="S47" s="133"/>
      <c r="T47" s="133"/>
      <c r="U47" s="133"/>
      <c r="V47" s="133"/>
      <c r="W47" s="133"/>
      <c r="X47" s="133"/>
      <c r="Y47" s="133"/>
      <c r="Z47" s="133"/>
    </row>
    <row r="48" spans="1:26">
      <c r="P48" s="133"/>
      <c r="Q48" s="193"/>
      <c r="R48" s="133"/>
      <c r="S48" s="133"/>
      <c r="T48" s="133"/>
      <c r="U48" s="133"/>
      <c r="V48" s="133"/>
      <c r="W48" s="133"/>
      <c r="X48" s="133"/>
      <c r="Y48" s="133"/>
      <c r="Z48" s="133"/>
    </row>
    <row r="49" spans="16:26">
      <c r="P49" s="133"/>
      <c r="Q49" s="193"/>
      <c r="R49" s="133"/>
      <c r="S49" s="133"/>
      <c r="T49" s="133"/>
      <c r="U49" s="133"/>
      <c r="V49" s="133"/>
      <c r="W49" s="133"/>
      <c r="X49" s="133"/>
      <c r="Y49" s="133"/>
      <c r="Z49" s="133"/>
    </row>
    <row r="50" spans="16:26">
      <c r="P50" s="133"/>
      <c r="Q50" s="193"/>
      <c r="R50" s="133"/>
      <c r="S50" s="133"/>
      <c r="T50" s="133"/>
      <c r="U50" s="133"/>
      <c r="V50" s="133"/>
      <c r="W50" s="133"/>
      <c r="X50" s="133"/>
      <c r="Y50" s="133"/>
      <c r="Z50" s="133"/>
    </row>
    <row r="51" spans="16:26">
      <c r="P51" s="133"/>
      <c r="Q51" s="193"/>
      <c r="R51" s="133"/>
      <c r="S51" s="133"/>
      <c r="T51" s="133"/>
      <c r="U51" s="133"/>
      <c r="V51" s="133"/>
      <c r="W51" s="133"/>
      <c r="X51" s="133"/>
      <c r="Y51" s="133"/>
      <c r="Z51" s="133"/>
    </row>
    <row r="52" spans="16:26">
      <c r="P52" s="133"/>
      <c r="Q52" s="193"/>
      <c r="R52" s="133"/>
      <c r="S52" s="133"/>
      <c r="T52" s="133"/>
      <c r="U52" s="133"/>
      <c r="V52" s="133"/>
      <c r="W52" s="133"/>
      <c r="X52" s="133"/>
      <c r="Y52" s="133"/>
      <c r="Z52" s="133"/>
    </row>
    <row r="53" spans="16:26">
      <c r="P53" s="133"/>
      <c r="Q53" s="193"/>
      <c r="R53" s="133"/>
      <c r="S53" s="133"/>
      <c r="T53" s="133"/>
      <c r="U53" s="133"/>
      <c r="V53" s="133"/>
      <c r="W53" s="133"/>
      <c r="X53" s="133"/>
      <c r="Y53" s="133"/>
      <c r="Z53" s="133"/>
    </row>
    <row r="54" spans="16:26">
      <c r="P54" s="133"/>
      <c r="Q54" s="193"/>
      <c r="R54" s="133"/>
      <c r="S54" s="133"/>
      <c r="T54" s="133"/>
      <c r="U54" s="133"/>
      <c r="V54" s="133"/>
      <c r="W54" s="133"/>
      <c r="X54" s="133"/>
      <c r="Y54" s="133"/>
      <c r="Z54" s="133"/>
    </row>
    <row r="55" spans="16:26">
      <c r="P55" s="133"/>
      <c r="Q55" s="193"/>
      <c r="R55" s="133"/>
      <c r="S55" s="133"/>
      <c r="T55" s="133"/>
      <c r="U55" s="133"/>
      <c r="V55" s="133"/>
      <c r="W55" s="133"/>
      <c r="X55" s="133"/>
      <c r="Y55" s="133"/>
      <c r="Z55" s="133"/>
    </row>
    <row r="56" spans="16:26">
      <c r="P56" s="133"/>
      <c r="Q56" s="193"/>
      <c r="R56" s="133"/>
      <c r="S56" s="133"/>
      <c r="T56" s="133"/>
      <c r="U56" s="133"/>
      <c r="V56" s="133"/>
      <c r="W56" s="133"/>
      <c r="X56" s="133"/>
      <c r="Y56" s="133"/>
      <c r="Z56" s="133"/>
    </row>
    <row r="57" spans="16:26">
      <c r="P57" s="133"/>
      <c r="Q57" s="193"/>
      <c r="R57" s="133"/>
      <c r="S57" s="133"/>
      <c r="T57" s="133"/>
      <c r="U57" s="133"/>
      <c r="V57" s="133"/>
      <c r="W57" s="133"/>
      <c r="X57" s="133"/>
      <c r="Y57" s="133"/>
      <c r="Z57" s="133"/>
    </row>
    <row r="58" spans="16:26">
      <c r="P58" s="133"/>
      <c r="Q58" s="193"/>
      <c r="R58" s="133"/>
      <c r="S58" s="133"/>
      <c r="T58" s="133"/>
      <c r="U58" s="133"/>
      <c r="V58" s="133"/>
      <c r="W58" s="133"/>
      <c r="X58" s="133"/>
      <c r="Y58" s="133"/>
      <c r="Z58" s="133"/>
    </row>
    <row r="59" spans="16:26">
      <c r="P59" s="133"/>
      <c r="Q59" s="193"/>
      <c r="R59" s="133"/>
      <c r="S59" s="133"/>
      <c r="T59" s="133"/>
      <c r="U59" s="133"/>
      <c r="V59" s="133"/>
      <c r="W59" s="133"/>
      <c r="X59" s="133"/>
      <c r="Y59" s="133"/>
      <c r="Z59" s="133"/>
    </row>
    <row r="60" spans="16:26">
      <c r="P60" s="133"/>
      <c r="Q60" s="193"/>
      <c r="R60" s="133"/>
      <c r="S60" s="133"/>
      <c r="T60" s="133"/>
      <c r="U60" s="133"/>
      <c r="V60" s="133"/>
      <c r="W60" s="133"/>
      <c r="X60" s="133"/>
      <c r="Y60" s="133"/>
      <c r="Z60" s="133"/>
    </row>
    <row r="61" spans="16:26">
      <c r="P61" s="133"/>
      <c r="Q61" s="193"/>
      <c r="R61" s="133"/>
      <c r="S61" s="133"/>
      <c r="T61" s="133"/>
      <c r="U61" s="133"/>
      <c r="V61" s="133"/>
      <c r="W61" s="133"/>
      <c r="X61" s="133"/>
      <c r="Y61" s="133"/>
      <c r="Z61" s="133"/>
    </row>
    <row r="62" spans="16:26">
      <c r="P62" s="133"/>
      <c r="Q62" s="193"/>
      <c r="R62" s="133"/>
      <c r="S62" s="133"/>
      <c r="T62" s="133"/>
      <c r="U62" s="133"/>
      <c r="V62" s="133"/>
      <c r="W62" s="133"/>
      <c r="X62" s="133"/>
      <c r="Y62" s="133"/>
      <c r="Z62" s="133"/>
    </row>
    <row r="63" spans="16:26">
      <c r="P63" s="133"/>
      <c r="Q63" s="193"/>
      <c r="R63" s="133"/>
      <c r="S63" s="133"/>
      <c r="T63" s="133"/>
      <c r="U63" s="133"/>
      <c r="V63" s="133"/>
      <c r="W63" s="133"/>
      <c r="X63" s="133"/>
      <c r="Y63" s="133"/>
      <c r="Z63" s="133"/>
    </row>
    <row r="64" spans="16:26">
      <c r="P64" s="133"/>
      <c r="Q64" s="193"/>
      <c r="R64" s="133"/>
      <c r="S64" s="133"/>
      <c r="T64" s="133"/>
      <c r="U64" s="133"/>
      <c r="V64" s="133"/>
      <c r="W64" s="133"/>
      <c r="X64" s="133"/>
      <c r="Y64" s="133"/>
      <c r="Z64" s="133"/>
    </row>
    <row r="65" spans="16:26">
      <c r="P65" s="133"/>
      <c r="Q65" s="193"/>
      <c r="R65" s="133"/>
      <c r="S65" s="133"/>
      <c r="T65" s="133"/>
      <c r="U65" s="133"/>
      <c r="V65" s="133"/>
      <c r="W65" s="133"/>
      <c r="X65" s="133"/>
      <c r="Y65" s="133"/>
      <c r="Z65" s="133"/>
    </row>
    <row r="66" spans="16:26">
      <c r="P66" s="133"/>
      <c r="Q66" s="193"/>
      <c r="R66" s="133"/>
      <c r="S66" s="133"/>
      <c r="T66" s="133"/>
      <c r="U66" s="133"/>
      <c r="V66" s="133"/>
      <c r="W66" s="133"/>
      <c r="X66" s="133"/>
      <c r="Y66" s="133"/>
      <c r="Z66" s="133"/>
    </row>
    <row r="67" spans="16:26">
      <c r="P67" s="133"/>
      <c r="Q67" s="193"/>
      <c r="R67" s="133"/>
      <c r="S67" s="133"/>
      <c r="T67" s="133"/>
      <c r="U67" s="133"/>
      <c r="V67" s="133"/>
      <c r="W67" s="133"/>
      <c r="X67" s="133"/>
      <c r="Y67" s="133"/>
      <c r="Z67" s="133"/>
    </row>
    <row r="68" spans="16:26">
      <c r="P68" s="133"/>
      <c r="Q68" s="193"/>
      <c r="R68" s="133"/>
      <c r="S68" s="133"/>
      <c r="T68" s="133"/>
      <c r="U68" s="133"/>
      <c r="V68" s="133"/>
      <c r="W68" s="133"/>
      <c r="X68" s="133"/>
      <c r="Y68" s="133"/>
      <c r="Z68" s="133"/>
    </row>
    <row r="69" spans="16:26">
      <c r="P69" s="133"/>
      <c r="Q69" s="193"/>
      <c r="R69" s="133"/>
      <c r="S69" s="133"/>
      <c r="T69" s="133"/>
      <c r="U69" s="133"/>
      <c r="V69" s="133"/>
      <c r="W69" s="133"/>
      <c r="X69" s="133"/>
      <c r="Y69" s="133"/>
      <c r="Z69" s="133"/>
    </row>
    <row r="70" spans="16:26">
      <c r="P70" s="133"/>
      <c r="Q70" s="193"/>
      <c r="R70" s="133"/>
      <c r="S70" s="133"/>
      <c r="T70" s="133"/>
      <c r="U70" s="133"/>
      <c r="V70" s="133"/>
      <c r="W70" s="133"/>
      <c r="X70" s="133"/>
      <c r="Y70" s="133"/>
      <c r="Z70" s="133"/>
    </row>
    <row r="71" spans="16:26">
      <c r="P71" s="133"/>
      <c r="Q71" s="193"/>
      <c r="R71" s="133"/>
      <c r="S71" s="133"/>
      <c r="T71" s="133"/>
      <c r="U71" s="133"/>
      <c r="V71" s="133"/>
      <c r="W71" s="133"/>
      <c r="X71" s="133"/>
      <c r="Y71" s="133"/>
      <c r="Z71" s="133"/>
    </row>
    <row r="72" spans="16:26">
      <c r="P72" s="133"/>
      <c r="Q72" s="193"/>
      <c r="R72" s="133"/>
      <c r="S72" s="133"/>
      <c r="T72" s="133"/>
      <c r="U72" s="133"/>
      <c r="V72" s="133"/>
      <c r="W72" s="133"/>
      <c r="X72" s="133"/>
      <c r="Y72" s="133"/>
      <c r="Z72" s="133"/>
    </row>
    <row r="73" spans="16:26">
      <c r="P73" s="133"/>
      <c r="Q73" s="193"/>
      <c r="R73" s="133"/>
      <c r="S73" s="133"/>
      <c r="T73" s="133"/>
      <c r="U73" s="133"/>
      <c r="V73" s="133"/>
      <c r="W73" s="133"/>
      <c r="X73" s="133"/>
      <c r="Y73" s="133"/>
      <c r="Z73" s="133"/>
    </row>
    <row r="74" spans="16:26">
      <c r="P74" s="133"/>
      <c r="Q74" s="193"/>
      <c r="R74" s="133"/>
      <c r="S74" s="133"/>
      <c r="T74" s="133"/>
      <c r="U74" s="133"/>
      <c r="V74" s="133"/>
      <c r="W74" s="133"/>
      <c r="X74" s="133"/>
      <c r="Y74" s="133"/>
      <c r="Z74" s="133"/>
    </row>
    <row r="75" spans="16:26">
      <c r="P75" s="133"/>
      <c r="Q75" s="193"/>
      <c r="R75" s="133"/>
      <c r="S75" s="133"/>
      <c r="T75" s="133"/>
      <c r="U75" s="133"/>
      <c r="V75" s="133"/>
      <c r="W75" s="133"/>
      <c r="X75" s="133"/>
      <c r="Y75" s="133"/>
      <c r="Z75" s="133"/>
    </row>
    <row r="76" spans="16:26">
      <c r="P76" s="133"/>
      <c r="Q76" s="193"/>
      <c r="R76" s="133"/>
      <c r="S76" s="133"/>
      <c r="T76" s="133"/>
      <c r="U76" s="133"/>
      <c r="V76" s="133"/>
      <c r="W76" s="133"/>
      <c r="X76" s="133"/>
      <c r="Y76" s="133"/>
      <c r="Z76" s="133"/>
    </row>
    <row r="77" spans="16:26">
      <c r="P77" s="133"/>
      <c r="Q77" s="193"/>
      <c r="R77" s="133"/>
      <c r="S77" s="133"/>
      <c r="T77" s="133"/>
      <c r="U77" s="133"/>
      <c r="V77" s="133"/>
      <c r="W77" s="133"/>
      <c r="X77" s="133"/>
      <c r="Y77" s="133"/>
      <c r="Z77" s="133"/>
    </row>
    <row r="78" spans="16:26">
      <c r="P78" s="133"/>
      <c r="Q78" s="193"/>
      <c r="R78" s="133"/>
      <c r="S78" s="133"/>
      <c r="T78" s="133"/>
      <c r="U78" s="133"/>
      <c r="V78" s="133"/>
      <c r="W78" s="133"/>
      <c r="X78" s="133"/>
      <c r="Y78" s="133"/>
      <c r="Z78" s="133"/>
    </row>
    <row r="79" spans="16:26">
      <c r="P79" s="133"/>
      <c r="Q79" s="193"/>
      <c r="R79" s="133"/>
      <c r="S79" s="133"/>
      <c r="T79" s="133"/>
      <c r="U79" s="133"/>
      <c r="V79" s="133"/>
      <c r="W79" s="133"/>
      <c r="X79" s="133"/>
      <c r="Y79" s="133"/>
      <c r="Z79" s="133"/>
    </row>
    <row r="80" spans="16:26">
      <c r="P80" s="133"/>
      <c r="Q80" s="193"/>
      <c r="R80" s="133"/>
      <c r="S80" s="133"/>
      <c r="T80" s="133"/>
      <c r="U80" s="133"/>
      <c r="V80" s="133"/>
      <c r="W80" s="133"/>
      <c r="X80" s="133"/>
      <c r="Y80" s="133"/>
      <c r="Z80" s="133"/>
    </row>
    <row r="81" spans="16:26">
      <c r="P81" s="133"/>
      <c r="Q81" s="193"/>
      <c r="R81" s="133"/>
      <c r="S81" s="133"/>
      <c r="T81" s="133"/>
      <c r="U81" s="133"/>
      <c r="V81" s="133"/>
      <c r="W81" s="133"/>
      <c r="X81" s="133"/>
      <c r="Y81" s="133"/>
      <c r="Z81" s="133"/>
    </row>
    <row r="82" spans="16:26">
      <c r="P82" s="133"/>
      <c r="Q82" s="193"/>
      <c r="R82" s="133"/>
      <c r="S82" s="133"/>
      <c r="T82" s="133"/>
      <c r="U82" s="133"/>
      <c r="V82" s="133"/>
      <c r="W82" s="133"/>
      <c r="X82" s="133"/>
      <c r="Y82" s="133"/>
      <c r="Z82" s="133"/>
    </row>
    <row r="83" spans="16:26">
      <c r="P83" s="133"/>
      <c r="Q83" s="193"/>
      <c r="R83" s="133"/>
      <c r="S83" s="133"/>
      <c r="T83" s="133"/>
      <c r="U83" s="133"/>
      <c r="V83" s="133"/>
      <c r="W83" s="133"/>
      <c r="X83" s="133"/>
      <c r="Y83" s="133"/>
      <c r="Z83" s="133"/>
    </row>
    <row r="84" spans="16:26">
      <c r="P84" s="133"/>
      <c r="Q84" s="193"/>
      <c r="R84" s="133"/>
      <c r="S84" s="133"/>
      <c r="T84" s="133"/>
      <c r="U84" s="133"/>
      <c r="V84" s="133"/>
      <c r="W84" s="133"/>
      <c r="X84" s="133"/>
      <c r="Y84" s="133"/>
      <c r="Z84" s="133"/>
    </row>
    <row r="85" spans="16:26">
      <c r="P85" s="133"/>
      <c r="Q85" s="193"/>
      <c r="R85" s="133"/>
      <c r="S85" s="133"/>
      <c r="T85" s="133"/>
      <c r="U85" s="133"/>
      <c r="V85" s="133"/>
      <c r="W85" s="133"/>
      <c r="X85" s="133"/>
      <c r="Y85" s="133"/>
      <c r="Z85" s="133"/>
    </row>
    <row r="86" spans="16:26">
      <c r="P86" s="133"/>
      <c r="Q86" s="193"/>
      <c r="R86" s="133"/>
      <c r="S86" s="133"/>
      <c r="T86" s="133"/>
      <c r="U86" s="133"/>
      <c r="V86" s="133"/>
      <c r="W86" s="133"/>
      <c r="X86" s="133"/>
      <c r="Y86" s="133"/>
      <c r="Z86" s="133"/>
    </row>
    <row r="87" spans="16:26">
      <c r="P87" s="133"/>
      <c r="Q87" s="193"/>
      <c r="R87" s="133"/>
      <c r="S87" s="133"/>
      <c r="T87" s="133"/>
      <c r="U87" s="133"/>
      <c r="V87" s="133"/>
      <c r="W87" s="133"/>
      <c r="X87" s="133"/>
      <c r="Y87" s="133"/>
      <c r="Z87" s="133"/>
    </row>
    <row r="88" spans="16:26">
      <c r="P88" s="133"/>
      <c r="Q88" s="193"/>
      <c r="R88" s="133"/>
      <c r="S88" s="133"/>
      <c r="T88" s="133"/>
      <c r="U88" s="133"/>
      <c r="V88" s="133"/>
      <c r="W88" s="133"/>
      <c r="X88" s="133"/>
      <c r="Y88" s="133"/>
      <c r="Z88" s="133"/>
    </row>
    <row r="89" spans="16:26">
      <c r="P89" s="133"/>
      <c r="Q89" s="193"/>
      <c r="R89" s="133"/>
      <c r="S89" s="133"/>
      <c r="T89" s="133"/>
      <c r="U89" s="133"/>
      <c r="V89" s="133"/>
      <c r="W89" s="133"/>
      <c r="X89" s="133"/>
      <c r="Y89" s="133"/>
      <c r="Z89" s="133"/>
    </row>
    <row r="90" spans="16:26">
      <c r="P90" s="133"/>
      <c r="Q90" s="193"/>
      <c r="R90" s="133"/>
      <c r="S90" s="133"/>
      <c r="T90" s="133"/>
      <c r="U90" s="133"/>
      <c r="V90" s="133"/>
      <c r="W90" s="133"/>
      <c r="X90" s="133"/>
      <c r="Y90" s="133"/>
      <c r="Z90" s="133"/>
    </row>
    <row r="91" spans="16:26">
      <c r="P91" s="133"/>
      <c r="Q91" s="193"/>
      <c r="R91" s="133"/>
      <c r="S91" s="133"/>
      <c r="T91" s="133"/>
      <c r="U91" s="133"/>
      <c r="V91" s="133"/>
      <c r="W91" s="133"/>
      <c r="X91" s="133"/>
      <c r="Y91" s="133"/>
      <c r="Z91" s="133"/>
    </row>
    <row r="92" spans="16:26">
      <c r="P92" s="133"/>
      <c r="Q92" s="193"/>
      <c r="R92" s="133"/>
      <c r="S92" s="133"/>
      <c r="T92" s="133"/>
      <c r="U92" s="133"/>
      <c r="V92" s="133"/>
      <c r="W92" s="133"/>
      <c r="X92" s="133"/>
      <c r="Y92" s="133"/>
      <c r="Z92" s="133"/>
    </row>
    <row r="93" spans="16:26">
      <c r="P93" s="133"/>
      <c r="Q93" s="193"/>
      <c r="R93" s="133"/>
      <c r="S93" s="133"/>
      <c r="T93" s="133"/>
      <c r="U93" s="133"/>
      <c r="V93" s="133"/>
      <c r="W93" s="133"/>
      <c r="X93" s="133"/>
      <c r="Y93" s="133"/>
      <c r="Z93" s="133"/>
    </row>
    <row r="94" spans="16:26">
      <c r="P94" s="133"/>
      <c r="Q94" s="193"/>
      <c r="R94" s="133"/>
      <c r="S94" s="133"/>
      <c r="T94" s="133"/>
      <c r="U94" s="133"/>
      <c r="V94" s="133"/>
      <c r="W94" s="133"/>
      <c r="X94" s="133"/>
      <c r="Y94" s="133"/>
      <c r="Z94" s="133"/>
    </row>
    <row r="95" spans="16:26">
      <c r="P95" s="133"/>
      <c r="Q95" s="193"/>
      <c r="R95" s="133"/>
      <c r="S95" s="133"/>
      <c r="T95" s="133"/>
      <c r="U95" s="133"/>
      <c r="V95" s="133"/>
      <c r="W95" s="133"/>
      <c r="X95" s="133"/>
      <c r="Y95" s="133"/>
      <c r="Z95" s="133"/>
    </row>
    <row r="96" spans="16:26">
      <c r="P96" s="133"/>
      <c r="Q96" s="193"/>
      <c r="R96" s="133"/>
      <c r="S96" s="133"/>
      <c r="T96" s="133"/>
      <c r="U96" s="133"/>
      <c r="V96" s="133"/>
      <c r="W96" s="133"/>
      <c r="X96" s="133"/>
      <c r="Y96" s="133"/>
      <c r="Z96" s="133"/>
    </row>
    <row r="97" spans="16:26">
      <c r="P97" s="133"/>
      <c r="Q97" s="193"/>
      <c r="R97" s="133"/>
      <c r="S97" s="133"/>
      <c r="T97" s="133"/>
      <c r="U97" s="133"/>
      <c r="V97" s="133"/>
      <c r="W97" s="133"/>
      <c r="X97" s="133"/>
      <c r="Y97" s="133"/>
      <c r="Z97" s="133"/>
    </row>
    <row r="98" spans="16:26">
      <c r="P98" s="133"/>
      <c r="Q98" s="193"/>
      <c r="R98" s="133"/>
      <c r="S98" s="133"/>
      <c r="T98" s="133"/>
      <c r="U98" s="133"/>
      <c r="V98" s="133"/>
      <c r="W98" s="133"/>
      <c r="X98" s="133"/>
      <c r="Y98" s="133"/>
      <c r="Z98" s="133"/>
    </row>
    <row r="99" spans="16:26">
      <c r="P99" s="133"/>
      <c r="Q99" s="193"/>
      <c r="R99" s="133"/>
      <c r="S99" s="133"/>
      <c r="T99" s="133"/>
      <c r="U99" s="133"/>
      <c r="V99" s="133"/>
      <c r="W99" s="133"/>
      <c r="X99" s="133"/>
      <c r="Y99" s="133"/>
      <c r="Z99" s="133"/>
    </row>
    <row r="100" spans="16:26">
      <c r="P100" s="133"/>
      <c r="Q100" s="193"/>
      <c r="R100" s="133"/>
      <c r="S100" s="133"/>
      <c r="T100" s="133"/>
      <c r="U100" s="133"/>
      <c r="V100" s="133"/>
      <c r="W100" s="133"/>
      <c r="X100" s="133"/>
      <c r="Y100" s="133"/>
      <c r="Z100" s="133"/>
    </row>
    <row r="101" spans="16:26">
      <c r="P101" s="133"/>
      <c r="Q101" s="193"/>
      <c r="R101" s="133"/>
      <c r="S101" s="133"/>
      <c r="T101" s="133"/>
      <c r="U101" s="133"/>
      <c r="V101" s="133"/>
      <c r="W101" s="133"/>
      <c r="X101" s="133"/>
      <c r="Y101" s="133"/>
      <c r="Z101" s="133"/>
    </row>
    <row r="102" spans="16:26">
      <c r="P102" s="133"/>
      <c r="Q102" s="193"/>
      <c r="R102" s="133"/>
      <c r="S102" s="133"/>
      <c r="T102" s="133"/>
      <c r="U102" s="133"/>
      <c r="V102" s="133"/>
      <c r="W102" s="133"/>
      <c r="X102" s="133"/>
      <c r="Y102" s="133"/>
      <c r="Z102" s="133"/>
    </row>
    <row r="103" spans="16:26">
      <c r="P103" s="133"/>
      <c r="Q103" s="193"/>
      <c r="R103" s="133"/>
      <c r="S103" s="133"/>
      <c r="T103" s="133"/>
      <c r="U103" s="133"/>
      <c r="V103" s="133"/>
      <c r="W103" s="133"/>
      <c r="X103" s="133"/>
      <c r="Y103" s="133"/>
      <c r="Z103" s="133"/>
    </row>
    <row r="104" spans="16:26">
      <c r="P104" s="133"/>
      <c r="Q104" s="193"/>
      <c r="R104" s="133"/>
      <c r="S104" s="133"/>
      <c r="T104" s="133"/>
      <c r="U104" s="133"/>
      <c r="V104" s="133"/>
      <c r="W104" s="133"/>
      <c r="X104" s="133"/>
      <c r="Y104" s="133"/>
      <c r="Z104" s="133"/>
    </row>
    <row r="105" spans="16:26">
      <c r="P105" s="133"/>
      <c r="Q105" s="193"/>
      <c r="R105" s="133"/>
      <c r="S105" s="133"/>
      <c r="T105" s="133"/>
      <c r="U105" s="133"/>
      <c r="V105" s="133"/>
      <c r="W105" s="133"/>
      <c r="X105" s="133"/>
      <c r="Y105" s="133"/>
      <c r="Z105" s="133"/>
    </row>
    <row r="106" spans="16:26">
      <c r="P106" s="133"/>
      <c r="Q106" s="193"/>
      <c r="R106" s="133"/>
      <c r="S106" s="133"/>
      <c r="T106" s="133"/>
      <c r="U106" s="133"/>
      <c r="V106" s="133"/>
      <c r="W106" s="133"/>
      <c r="X106" s="133"/>
      <c r="Y106" s="133"/>
      <c r="Z106" s="133"/>
    </row>
    <row r="107" spans="16:26">
      <c r="P107" s="133"/>
      <c r="Q107" s="193"/>
      <c r="R107" s="133"/>
      <c r="S107" s="133"/>
      <c r="T107" s="133"/>
      <c r="U107" s="133"/>
      <c r="V107" s="133"/>
      <c r="W107" s="133"/>
      <c r="X107" s="133"/>
      <c r="Y107" s="133"/>
      <c r="Z107" s="133"/>
    </row>
    <row r="108" spans="16:26">
      <c r="P108" s="133"/>
      <c r="Q108" s="193"/>
      <c r="R108" s="133"/>
      <c r="S108" s="133"/>
      <c r="T108" s="133"/>
      <c r="U108" s="133"/>
      <c r="V108" s="133"/>
      <c r="W108" s="133"/>
      <c r="X108" s="133"/>
      <c r="Y108" s="133"/>
      <c r="Z108" s="133"/>
    </row>
    <row r="109" spans="16:26">
      <c r="P109" s="133"/>
      <c r="Q109" s="193"/>
      <c r="R109" s="133"/>
      <c r="S109" s="133"/>
      <c r="T109" s="133"/>
      <c r="U109" s="133"/>
      <c r="V109" s="133"/>
      <c r="W109" s="133"/>
      <c r="X109" s="133"/>
      <c r="Y109" s="133"/>
      <c r="Z109" s="133"/>
    </row>
    <row r="110" spans="16:26">
      <c r="P110" s="133"/>
      <c r="Q110" s="193"/>
      <c r="R110" s="133"/>
      <c r="S110" s="133"/>
      <c r="T110" s="133"/>
      <c r="U110" s="133"/>
      <c r="V110" s="133"/>
      <c r="W110" s="133"/>
      <c r="X110" s="133"/>
      <c r="Y110" s="133"/>
      <c r="Z110" s="133"/>
    </row>
    <row r="111" spans="16:26">
      <c r="P111" s="133"/>
      <c r="Q111" s="193"/>
      <c r="R111" s="133"/>
      <c r="S111" s="133"/>
      <c r="T111" s="133"/>
      <c r="U111" s="133"/>
      <c r="V111" s="133"/>
      <c r="W111" s="133"/>
      <c r="X111" s="133"/>
      <c r="Y111" s="133"/>
      <c r="Z111" s="133"/>
    </row>
    <row r="112" spans="16:26">
      <c r="P112" s="133"/>
      <c r="Q112" s="193"/>
      <c r="R112" s="133"/>
      <c r="S112" s="133"/>
      <c r="T112" s="133"/>
      <c r="U112" s="133"/>
      <c r="V112" s="133"/>
      <c r="W112" s="133"/>
      <c r="X112" s="133"/>
      <c r="Y112" s="133"/>
      <c r="Z112" s="133"/>
    </row>
    <row r="113" spans="16:26">
      <c r="P113" s="133"/>
      <c r="Q113" s="193"/>
      <c r="R113" s="133"/>
      <c r="S113" s="133"/>
      <c r="T113" s="133"/>
      <c r="U113" s="133"/>
      <c r="V113" s="133"/>
      <c r="W113" s="133"/>
      <c r="X113" s="133"/>
      <c r="Y113" s="133"/>
      <c r="Z113" s="133"/>
    </row>
    <row r="114" spans="16:26">
      <c r="P114" s="133"/>
      <c r="Q114" s="193"/>
      <c r="R114" s="133"/>
      <c r="S114" s="133"/>
      <c r="T114" s="133"/>
      <c r="U114" s="133"/>
      <c r="V114" s="133"/>
      <c r="W114" s="133"/>
      <c r="X114" s="133"/>
      <c r="Y114" s="133"/>
      <c r="Z114" s="133"/>
    </row>
    <row r="115" spans="16:26">
      <c r="P115" s="133"/>
      <c r="Q115" s="193"/>
      <c r="R115" s="133"/>
      <c r="S115" s="133"/>
      <c r="T115" s="133"/>
      <c r="U115" s="133"/>
      <c r="V115" s="133"/>
      <c r="W115" s="133"/>
      <c r="X115" s="133"/>
      <c r="Y115" s="133"/>
      <c r="Z115" s="133"/>
    </row>
    <row r="116" spans="16:26">
      <c r="P116" s="133"/>
      <c r="Q116" s="193"/>
      <c r="R116" s="133"/>
      <c r="S116" s="133"/>
      <c r="T116" s="133"/>
      <c r="U116" s="133"/>
      <c r="V116" s="133"/>
      <c r="W116" s="133"/>
      <c r="X116" s="133"/>
      <c r="Y116" s="133"/>
      <c r="Z116" s="133"/>
    </row>
    <row r="117" spans="16:26">
      <c r="P117" s="133"/>
      <c r="Q117" s="193"/>
      <c r="R117" s="133"/>
      <c r="S117" s="133"/>
      <c r="T117" s="133"/>
      <c r="U117" s="133"/>
      <c r="V117" s="133"/>
      <c r="W117" s="133"/>
      <c r="X117" s="133"/>
      <c r="Y117" s="133"/>
      <c r="Z117" s="133"/>
    </row>
    <row r="118" spans="16:26">
      <c r="P118" s="133"/>
      <c r="Q118" s="193"/>
      <c r="R118" s="133"/>
      <c r="S118" s="133"/>
      <c r="T118" s="133"/>
      <c r="U118" s="133"/>
      <c r="V118" s="133"/>
      <c r="W118" s="133"/>
      <c r="X118" s="133"/>
      <c r="Y118" s="133"/>
      <c r="Z118" s="133"/>
    </row>
    <row r="119" spans="16:26">
      <c r="P119" s="133"/>
      <c r="Q119" s="193"/>
      <c r="R119" s="133"/>
      <c r="S119" s="133"/>
      <c r="T119" s="133"/>
      <c r="U119" s="133"/>
      <c r="V119" s="133"/>
      <c r="W119" s="133"/>
      <c r="X119" s="133"/>
      <c r="Y119" s="133"/>
      <c r="Z119" s="133"/>
    </row>
    <row r="120" spans="16:26">
      <c r="P120" s="133"/>
      <c r="Q120" s="193"/>
      <c r="R120" s="133"/>
      <c r="S120" s="133"/>
      <c r="T120" s="133"/>
      <c r="U120" s="133"/>
      <c r="V120" s="133"/>
      <c r="W120" s="133"/>
      <c r="X120" s="133"/>
      <c r="Y120" s="133"/>
      <c r="Z120" s="133"/>
    </row>
    <row r="121" spans="16:26">
      <c r="P121" s="133"/>
      <c r="Q121" s="193"/>
      <c r="R121" s="133"/>
      <c r="S121" s="133"/>
      <c r="T121" s="133"/>
      <c r="U121" s="133"/>
      <c r="V121" s="133"/>
      <c r="W121" s="133"/>
      <c r="X121" s="133"/>
      <c r="Y121" s="133"/>
      <c r="Z121" s="133"/>
    </row>
    <row r="122" spans="16:26">
      <c r="P122" s="133"/>
      <c r="Q122" s="193"/>
      <c r="R122" s="133"/>
      <c r="S122" s="133"/>
      <c r="T122" s="133"/>
      <c r="U122" s="133"/>
      <c r="V122" s="133"/>
      <c r="W122" s="133"/>
      <c r="X122" s="133"/>
      <c r="Y122" s="133"/>
      <c r="Z122" s="133"/>
    </row>
    <row r="123" spans="16:26">
      <c r="P123" s="133"/>
      <c r="Q123" s="193"/>
      <c r="R123" s="133"/>
      <c r="S123" s="133"/>
      <c r="T123" s="133"/>
      <c r="U123" s="133"/>
      <c r="V123" s="133"/>
      <c r="W123" s="133"/>
      <c r="X123" s="133"/>
      <c r="Y123" s="133"/>
      <c r="Z123" s="133"/>
    </row>
    <row r="124" spans="16:26">
      <c r="P124" s="133"/>
      <c r="Q124" s="193"/>
      <c r="R124" s="133"/>
      <c r="S124" s="133"/>
      <c r="T124" s="133"/>
      <c r="U124" s="133"/>
      <c r="V124" s="133"/>
      <c r="W124" s="133"/>
      <c r="X124" s="133"/>
      <c r="Y124" s="133"/>
      <c r="Z124" s="133"/>
    </row>
    <row r="125" spans="16:26">
      <c r="P125" s="133"/>
      <c r="Q125" s="193"/>
      <c r="R125" s="133"/>
      <c r="S125" s="133"/>
      <c r="T125" s="133"/>
      <c r="U125" s="133"/>
      <c r="V125" s="133"/>
      <c r="W125" s="133"/>
      <c r="X125" s="133"/>
      <c r="Y125" s="133"/>
      <c r="Z125" s="133"/>
    </row>
    <row r="126" spans="16:26">
      <c r="P126" s="133"/>
      <c r="Q126" s="193"/>
      <c r="R126" s="133"/>
      <c r="S126" s="133"/>
      <c r="T126" s="133"/>
      <c r="U126" s="133"/>
      <c r="V126" s="133"/>
      <c r="W126" s="133"/>
      <c r="X126" s="133"/>
      <c r="Y126" s="133"/>
      <c r="Z126" s="133"/>
    </row>
    <row r="127" spans="16:26">
      <c r="P127" s="133"/>
      <c r="Q127" s="193"/>
      <c r="R127" s="133"/>
      <c r="S127" s="133"/>
      <c r="T127" s="133"/>
      <c r="U127" s="133"/>
      <c r="V127" s="133"/>
      <c r="W127" s="133"/>
      <c r="X127" s="133"/>
      <c r="Y127" s="133"/>
      <c r="Z127" s="133"/>
    </row>
    <row r="128" spans="16:26">
      <c r="P128" s="133"/>
      <c r="Q128" s="193"/>
      <c r="R128" s="133"/>
      <c r="S128" s="133"/>
      <c r="T128" s="133"/>
      <c r="U128" s="133"/>
      <c r="V128" s="133"/>
      <c r="W128" s="133"/>
      <c r="X128" s="133"/>
      <c r="Y128" s="133"/>
      <c r="Z128" s="133"/>
    </row>
    <row r="129" spans="16:26">
      <c r="P129" s="133"/>
      <c r="Q129" s="193"/>
      <c r="R129" s="133"/>
      <c r="S129" s="133"/>
      <c r="T129" s="133"/>
      <c r="U129" s="133"/>
      <c r="V129" s="133"/>
      <c r="W129" s="133"/>
      <c r="X129" s="133"/>
      <c r="Y129" s="133"/>
      <c r="Z129" s="133"/>
    </row>
    <row r="130" spans="16:26">
      <c r="P130" s="133"/>
      <c r="Q130" s="193"/>
      <c r="R130" s="133"/>
      <c r="S130" s="133"/>
      <c r="T130" s="133"/>
      <c r="U130" s="133"/>
      <c r="V130" s="133"/>
      <c r="W130" s="133"/>
      <c r="X130" s="133"/>
      <c r="Y130" s="133"/>
      <c r="Z130" s="133"/>
    </row>
    <row r="131" spans="16:26">
      <c r="P131" s="133"/>
      <c r="Q131" s="193"/>
      <c r="R131" s="133"/>
      <c r="S131" s="133"/>
      <c r="T131" s="133"/>
      <c r="U131" s="133"/>
      <c r="V131" s="133"/>
      <c r="W131" s="133"/>
      <c r="X131" s="133"/>
      <c r="Y131" s="133"/>
      <c r="Z131" s="133"/>
    </row>
    <row r="132" spans="16:26">
      <c r="P132" s="133"/>
      <c r="Q132" s="193"/>
      <c r="R132" s="133"/>
      <c r="S132" s="133"/>
      <c r="T132" s="133"/>
      <c r="U132" s="133"/>
      <c r="V132" s="133"/>
      <c r="W132" s="133"/>
      <c r="X132" s="133"/>
      <c r="Y132" s="133"/>
      <c r="Z132" s="133"/>
    </row>
    <row r="133" spans="16:26">
      <c r="P133" s="133"/>
      <c r="Q133" s="193"/>
      <c r="R133" s="133"/>
      <c r="S133" s="133"/>
      <c r="T133" s="133"/>
      <c r="U133" s="133"/>
      <c r="V133" s="133"/>
      <c r="W133" s="133"/>
      <c r="X133" s="133"/>
      <c r="Y133" s="133"/>
      <c r="Z133" s="133"/>
    </row>
    <row r="134" spans="16:26">
      <c r="P134" s="133"/>
      <c r="Q134" s="193"/>
      <c r="R134" s="133"/>
      <c r="S134" s="133"/>
      <c r="T134" s="133"/>
      <c r="U134" s="133"/>
      <c r="V134" s="133"/>
      <c r="W134" s="133"/>
      <c r="X134" s="133"/>
      <c r="Y134" s="133"/>
      <c r="Z134" s="133"/>
    </row>
    <row r="135" spans="16:26">
      <c r="P135" s="133"/>
      <c r="Q135" s="193"/>
      <c r="R135" s="133"/>
      <c r="S135" s="133"/>
      <c r="T135" s="133"/>
      <c r="U135" s="133"/>
      <c r="V135" s="133"/>
      <c r="W135" s="133"/>
      <c r="X135" s="133"/>
      <c r="Y135" s="133"/>
      <c r="Z135" s="133"/>
    </row>
    <row r="136" spans="16:26">
      <c r="P136" s="133"/>
      <c r="Q136" s="193"/>
      <c r="R136" s="133"/>
      <c r="S136" s="133"/>
      <c r="T136" s="133"/>
      <c r="U136" s="133"/>
      <c r="V136" s="133"/>
      <c r="W136" s="133"/>
      <c r="X136" s="133"/>
      <c r="Y136" s="133"/>
      <c r="Z136" s="133"/>
    </row>
    <row r="137" spans="16:26">
      <c r="P137" s="133"/>
      <c r="Q137" s="193"/>
      <c r="R137" s="133"/>
      <c r="S137" s="133"/>
      <c r="T137" s="133"/>
      <c r="U137" s="133"/>
      <c r="V137" s="133"/>
      <c r="W137" s="133"/>
      <c r="X137" s="133"/>
      <c r="Y137" s="133"/>
      <c r="Z137" s="133"/>
    </row>
    <row r="138" spans="16:26">
      <c r="P138" s="133"/>
      <c r="Q138" s="193"/>
      <c r="R138" s="133"/>
      <c r="S138" s="133"/>
      <c r="T138" s="133"/>
      <c r="U138" s="133"/>
      <c r="V138" s="133"/>
      <c r="W138" s="133"/>
      <c r="X138" s="133"/>
      <c r="Y138" s="133"/>
      <c r="Z138" s="133"/>
    </row>
    <row r="139" spans="16:26">
      <c r="P139" s="133"/>
      <c r="Q139" s="193"/>
      <c r="R139" s="133"/>
      <c r="S139" s="133"/>
      <c r="T139" s="133"/>
      <c r="U139" s="133"/>
      <c r="V139" s="133"/>
      <c r="W139" s="133"/>
      <c r="X139" s="133"/>
      <c r="Y139" s="133"/>
      <c r="Z139" s="133"/>
    </row>
    <row r="140" spans="16:26">
      <c r="P140" s="133"/>
      <c r="Q140" s="193"/>
      <c r="R140" s="133"/>
      <c r="S140" s="133"/>
      <c r="T140" s="133"/>
      <c r="U140" s="133"/>
      <c r="V140" s="133"/>
      <c r="W140" s="133"/>
      <c r="X140" s="133"/>
      <c r="Y140" s="133"/>
      <c r="Z140" s="133"/>
    </row>
    <row r="141" spans="16:26">
      <c r="P141" s="133"/>
      <c r="Q141" s="193"/>
      <c r="R141" s="133"/>
      <c r="S141" s="133"/>
      <c r="T141" s="133"/>
      <c r="U141" s="133"/>
      <c r="V141" s="133"/>
      <c r="W141" s="133"/>
      <c r="X141" s="133"/>
      <c r="Y141" s="133"/>
      <c r="Z141" s="133"/>
    </row>
    <row r="142" spans="16:26">
      <c r="P142" s="133"/>
      <c r="Q142" s="193"/>
      <c r="R142" s="133"/>
      <c r="S142" s="133"/>
      <c r="T142" s="133"/>
      <c r="U142" s="133"/>
      <c r="V142" s="133"/>
      <c r="W142" s="133"/>
      <c r="X142" s="133"/>
      <c r="Y142" s="133"/>
      <c r="Z142" s="133"/>
    </row>
    <row r="143" spans="16:26">
      <c r="P143" s="133"/>
      <c r="Q143" s="193"/>
      <c r="R143" s="133"/>
      <c r="S143" s="133"/>
      <c r="T143" s="133"/>
      <c r="U143" s="133"/>
      <c r="V143" s="133"/>
      <c r="W143" s="133"/>
      <c r="X143" s="133"/>
      <c r="Y143" s="133"/>
      <c r="Z143" s="133"/>
    </row>
    <row r="144" spans="16:26">
      <c r="P144" s="133"/>
      <c r="Q144" s="193"/>
      <c r="R144" s="133"/>
      <c r="S144" s="133"/>
      <c r="T144" s="133"/>
      <c r="U144" s="133"/>
      <c r="V144" s="133"/>
      <c r="W144" s="133"/>
      <c r="X144" s="133"/>
      <c r="Y144" s="133"/>
      <c r="Z144" s="133"/>
    </row>
    <row r="145" spans="16:26">
      <c r="P145" s="133"/>
      <c r="Q145" s="193"/>
      <c r="R145" s="133"/>
      <c r="S145" s="133"/>
      <c r="T145" s="133"/>
      <c r="U145" s="133"/>
      <c r="V145" s="133"/>
      <c r="W145" s="133"/>
      <c r="X145" s="133"/>
      <c r="Y145" s="133"/>
      <c r="Z145" s="133"/>
    </row>
    <row r="146" spans="16:26">
      <c r="P146" s="133"/>
      <c r="Q146" s="193"/>
      <c r="R146" s="133"/>
      <c r="S146" s="133"/>
      <c r="T146" s="133"/>
      <c r="U146" s="133"/>
      <c r="V146" s="133"/>
      <c r="W146" s="133"/>
      <c r="X146" s="133"/>
      <c r="Y146" s="133"/>
      <c r="Z146" s="133"/>
    </row>
    <row r="147" spans="16:26">
      <c r="P147" s="133"/>
      <c r="Q147" s="193"/>
      <c r="R147" s="133"/>
      <c r="S147" s="133"/>
      <c r="T147" s="133"/>
      <c r="U147" s="133"/>
      <c r="V147" s="133"/>
      <c r="W147" s="133"/>
      <c r="X147" s="133"/>
      <c r="Y147" s="133"/>
      <c r="Z147" s="133"/>
    </row>
    <row r="148" spans="16:26">
      <c r="P148" s="133"/>
      <c r="Q148" s="193"/>
      <c r="R148" s="133"/>
      <c r="S148" s="133"/>
      <c r="T148" s="133"/>
      <c r="U148" s="133"/>
      <c r="V148" s="133"/>
      <c r="W148" s="133"/>
      <c r="X148" s="133"/>
      <c r="Y148" s="133"/>
      <c r="Z148" s="133"/>
    </row>
    <row r="149" spans="16:26">
      <c r="P149" s="133"/>
      <c r="Q149" s="193"/>
      <c r="R149" s="133"/>
      <c r="S149" s="133"/>
      <c r="T149" s="133"/>
      <c r="U149" s="133"/>
      <c r="V149" s="133"/>
      <c r="W149" s="133"/>
      <c r="X149" s="133"/>
      <c r="Y149" s="133"/>
      <c r="Z149" s="133"/>
    </row>
    <row r="150" spans="16:26">
      <c r="P150" s="133"/>
      <c r="Q150" s="193"/>
      <c r="R150" s="133"/>
      <c r="S150" s="133"/>
      <c r="T150" s="133"/>
      <c r="U150" s="133"/>
      <c r="V150" s="133"/>
      <c r="W150" s="133"/>
      <c r="X150" s="133"/>
      <c r="Y150" s="133"/>
      <c r="Z150" s="133"/>
    </row>
    <row r="151" spans="16:26">
      <c r="P151" s="133"/>
      <c r="Q151" s="193"/>
      <c r="R151" s="133"/>
      <c r="S151" s="133"/>
      <c r="T151" s="133"/>
      <c r="U151" s="133"/>
      <c r="V151" s="133"/>
      <c r="W151" s="133"/>
      <c r="X151" s="133"/>
      <c r="Y151" s="133"/>
      <c r="Z151" s="133"/>
    </row>
    <row r="152" spans="16:26">
      <c r="P152" s="133"/>
      <c r="Q152" s="193"/>
      <c r="R152" s="133"/>
      <c r="S152" s="133"/>
      <c r="T152" s="133"/>
      <c r="U152" s="133"/>
      <c r="V152" s="133"/>
      <c r="W152" s="133"/>
      <c r="X152" s="133"/>
      <c r="Y152" s="133"/>
      <c r="Z152" s="133"/>
    </row>
    <row r="153" spans="16:26">
      <c r="P153" s="133"/>
      <c r="Q153" s="193"/>
      <c r="R153" s="133"/>
      <c r="S153" s="133"/>
      <c r="T153" s="133"/>
      <c r="U153" s="133"/>
      <c r="V153" s="133"/>
      <c r="W153" s="133"/>
      <c r="X153" s="133"/>
      <c r="Y153" s="133"/>
      <c r="Z153" s="133"/>
    </row>
    <row r="154" spans="16:26">
      <c r="P154" s="133"/>
      <c r="Q154" s="193"/>
      <c r="R154" s="133"/>
      <c r="S154" s="133"/>
      <c r="T154" s="133"/>
      <c r="U154" s="133"/>
      <c r="V154" s="133"/>
      <c r="W154" s="133"/>
      <c r="X154" s="133"/>
      <c r="Y154" s="133"/>
      <c r="Z154" s="133"/>
    </row>
    <row r="155" spans="16:26">
      <c r="P155" s="133"/>
      <c r="Q155" s="193"/>
      <c r="R155" s="133"/>
      <c r="S155" s="133"/>
      <c r="T155" s="133"/>
      <c r="U155" s="133"/>
      <c r="V155" s="133"/>
      <c r="W155" s="133"/>
      <c r="X155" s="133"/>
      <c r="Y155" s="133"/>
      <c r="Z155" s="133"/>
    </row>
    <row r="156" spans="16:26">
      <c r="P156" s="133"/>
      <c r="Q156" s="193"/>
      <c r="R156" s="133"/>
      <c r="S156" s="133"/>
      <c r="T156" s="133"/>
      <c r="U156" s="133"/>
      <c r="V156" s="133"/>
      <c r="W156" s="133"/>
      <c r="X156" s="133"/>
      <c r="Y156" s="133"/>
      <c r="Z156" s="133"/>
    </row>
    <row r="157" spans="16:26">
      <c r="P157" s="133"/>
      <c r="Q157" s="193"/>
      <c r="R157" s="133"/>
      <c r="S157" s="133"/>
      <c r="T157" s="133"/>
      <c r="U157" s="133"/>
      <c r="V157" s="133"/>
      <c r="W157" s="133"/>
      <c r="X157" s="133"/>
      <c r="Y157" s="133"/>
      <c r="Z157" s="133"/>
    </row>
    <row r="158" spans="16:26">
      <c r="P158" s="133"/>
      <c r="Q158" s="193"/>
      <c r="R158" s="133"/>
      <c r="S158" s="133"/>
      <c r="T158" s="133"/>
      <c r="U158" s="133"/>
      <c r="V158" s="133"/>
      <c r="W158" s="133"/>
      <c r="X158" s="133"/>
      <c r="Y158" s="133"/>
      <c r="Z158" s="133"/>
    </row>
    <row r="159" spans="16:26">
      <c r="P159" s="133"/>
      <c r="Q159" s="193"/>
      <c r="R159" s="133"/>
      <c r="S159" s="133"/>
      <c r="T159" s="133"/>
      <c r="U159" s="133"/>
      <c r="V159" s="133"/>
      <c r="W159" s="133"/>
      <c r="X159" s="133"/>
      <c r="Y159" s="133"/>
      <c r="Z159" s="133"/>
    </row>
    <row r="160" spans="16:26">
      <c r="P160" s="133"/>
      <c r="Q160" s="193"/>
      <c r="R160" s="133"/>
      <c r="S160" s="133"/>
      <c r="T160" s="133"/>
      <c r="U160" s="133"/>
      <c r="V160" s="133"/>
      <c r="W160" s="133"/>
      <c r="X160" s="133"/>
      <c r="Y160" s="133"/>
      <c r="Z160" s="133"/>
    </row>
    <row r="161" spans="16:26">
      <c r="P161" s="133"/>
      <c r="Q161" s="193"/>
      <c r="R161" s="133"/>
      <c r="S161" s="133"/>
      <c r="T161" s="133"/>
      <c r="U161" s="133"/>
      <c r="V161" s="133"/>
      <c r="W161" s="133"/>
      <c r="X161" s="133"/>
      <c r="Y161" s="133"/>
      <c r="Z161" s="133"/>
    </row>
    <row r="162" spans="16:26">
      <c r="P162" s="133"/>
      <c r="Q162" s="193"/>
      <c r="R162" s="133"/>
      <c r="S162" s="133"/>
      <c r="T162" s="133"/>
      <c r="U162" s="133"/>
      <c r="V162" s="133"/>
      <c r="W162" s="133"/>
      <c r="X162" s="133"/>
      <c r="Y162" s="133"/>
      <c r="Z162" s="133"/>
    </row>
    <row r="163" spans="16:26">
      <c r="P163" s="133"/>
      <c r="Q163" s="193"/>
      <c r="R163" s="133"/>
      <c r="S163" s="133"/>
      <c r="T163" s="133"/>
      <c r="U163" s="133"/>
      <c r="V163" s="133"/>
      <c r="W163" s="133"/>
      <c r="X163" s="133"/>
      <c r="Y163" s="133"/>
      <c r="Z163" s="133"/>
    </row>
    <row r="164" spans="16:26">
      <c r="P164" s="133"/>
      <c r="Q164" s="193"/>
      <c r="R164" s="133"/>
      <c r="S164" s="133"/>
      <c r="T164" s="133"/>
      <c r="U164" s="133"/>
      <c r="V164" s="133"/>
      <c r="W164" s="133"/>
      <c r="X164" s="133"/>
      <c r="Y164" s="133"/>
      <c r="Z164" s="133"/>
    </row>
    <row r="165" spans="16:26">
      <c r="P165" s="133"/>
      <c r="Q165" s="193"/>
      <c r="R165" s="133"/>
      <c r="S165" s="133"/>
      <c r="T165" s="133"/>
      <c r="U165" s="133"/>
      <c r="V165" s="133"/>
      <c r="W165" s="133"/>
      <c r="X165" s="133"/>
      <c r="Y165" s="133"/>
      <c r="Z165" s="133"/>
    </row>
    <row r="166" spans="16:26">
      <c r="P166" s="133"/>
      <c r="Q166" s="193"/>
      <c r="R166" s="133"/>
      <c r="S166" s="133"/>
      <c r="T166" s="133"/>
      <c r="U166" s="133"/>
      <c r="V166" s="133"/>
      <c r="W166" s="133"/>
      <c r="X166" s="133"/>
      <c r="Y166" s="133"/>
      <c r="Z166" s="133"/>
    </row>
    <row r="167" spans="16:26">
      <c r="P167" s="133"/>
      <c r="Q167" s="193"/>
      <c r="R167" s="133"/>
      <c r="S167" s="133"/>
      <c r="T167" s="133"/>
      <c r="U167" s="133"/>
      <c r="V167" s="133"/>
      <c r="W167" s="133"/>
      <c r="X167" s="133"/>
      <c r="Y167" s="133"/>
      <c r="Z167" s="133"/>
    </row>
    <row r="168" spans="16:26">
      <c r="P168" s="133"/>
      <c r="Q168" s="193"/>
      <c r="R168" s="133"/>
      <c r="S168" s="133"/>
      <c r="T168" s="133"/>
      <c r="U168" s="133"/>
      <c r="V168" s="133"/>
      <c r="W168" s="133"/>
      <c r="X168" s="133"/>
      <c r="Y168" s="133"/>
      <c r="Z168" s="133"/>
    </row>
    <row r="169" spans="16:26">
      <c r="P169" s="133"/>
      <c r="Q169" s="193"/>
      <c r="R169" s="133"/>
      <c r="S169" s="133"/>
      <c r="T169" s="133"/>
      <c r="U169" s="133"/>
      <c r="V169" s="133"/>
      <c r="W169" s="133"/>
      <c r="X169" s="133"/>
      <c r="Y169" s="133"/>
      <c r="Z169" s="133"/>
    </row>
    <row r="170" spans="16:26">
      <c r="P170" s="133"/>
      <c r="Q170" s="193"/>
      <c r="R170" s="133"/>
      <c r="S170" s="133"/>
      <c r="T170" s="133"/>
      <c r="U170" s="133"/>
      <c r="V170" s="133"/>
      <c r="W170" s="133"/>
      <c r="X170" s="133"/>
      <c r="Y170" s="133"/>
      <c r="Z170" s="133"/>
    </row>
    <row r="171" spans="16:26">
      <c r="P171" s="133"/>
      <c r="Q171" s="193"/>
      <c r="R171" s="133"/>
      <c r="S171" s="133"/>
      <c r="T171" s="133"/>
      <c r="U171" s="133"/>
      <c r="V171" s="133"/>
      <c r="W171" s="133"/>
      <c r="X171" s="133"/>
      <c r="Y171" s="133"/>
      <c r="Z171" s="133"/>
    </row>
    <row r="172" spans="16:26">
      <c r="P172" s="133"/>
      <c r="Q172" s="193"/>
      <c r="R172" s="133"/>
      <c r="S172" s="133"/>
      <c r="T172" s="133"/>
      <c r="U172" s="133"/>
      <c r="V172" s="133"/>
      <c r="W172" s="133"/>
      <c r="X172" s="133"/>
      <c r="Y172" s="133"/>
      <c r="Z172" s="133"/>
    </row>
    <row r="173" spans="16:26">
      <c r="P173" s="133"/>
      <c r="Q173" s="193"/>
      <c r="R173" s="133"/>
      <c r="S173" s="133"/>
      <c r="T173" s="133"/>
      <c r="U173" s="133"/>
      <c r="V173" s="133"/>
      <c r="W173" s="133"/>
      <c r="X173" s="133"/>
      <c r="Y173" s="133"/>
      <c r="Z173" s="133"/>
    </row>
    <row r="174" spans="16:26">
      <c r="P174" s="133"/>
      <c r="Q174" s="193"/>
      <c r="R174" s="133"/>
      <c r="S174" s="133"/>
      <c r="T174" s="133"/>
      <c r="U174" s="133"/>
      <c r="V174" s="133"/>
      <c r="W174" s="133"/>
      <c r="X174" s="133"/>
      <c r="Y174" s="133"/>
      <c r="Z174" s="133"/>
    </row>
    <row r="175" spans="16:26">
      <c r="P175" s="133"/>
      <c r="Q175" s="193"/>
      <c r="R175" s="133"/>
      <c r="S175" s="133"/>
      <c r="T175" s="133"/>
      <c r="U175" s="133"/>
      <c r="V175" s="133"/>
      <c r="W175" s="133"/>
      <c r="X175" s="133"/>
      <c r="Y175" s="133"/>
      <c r="Z175" s="133"/>
    </row>
    <row r="176" spans="16:26">
      <c r="P176" s="133"/>
      <c r="Q176" s="193"/>
      <c r="R176" s="133"/>
      <c r="S176" s="133"/>
      <c r="T176" s="133"/>
      <c r="U176" s="133"/>
      <c r="V176" s="133"/>
      <c r="W176" s="133"/>
      <c r="X176" s="133"/>
      <c r="Y176" s="133"/>
      <c r="Z176" s="133"/>
    </row>
  </sheetData>
  <mergeCells count="22">
    <mergeCell ref="B23:J23"/>
    <mergeCell ref="A1:O1"/>
    <mergeCell ref="A2:O2"/>
    <mergeCell ref="J6:M6"/>
    <mergeCell ref="N6:O6"/>
    <mergeCell ref="A7:A11"/>
    <mergeCell ref="B7:B11"/>
    <mergeCell ref="C7:C11"/>
    <mergeCell ref="D7:D11"/>
    <mergeCell ref="E7:J7"/>
    <mergeCell ref="K7:O7"/>
    <mergeCell ref="E8:E11"/>
    <mergeCell ref="F8:F11"/>
    <mergeCell ref="G8:G11"/>
    <mergeCell ref="H8:H11"/>
    <mergeCell ref="O8:O11"/>
    <mergeCell ref="I8:I11"/>
    <mergeCell ref="K8:K11"/>
    <mergeCell ref="L8:L11"/>
    <mergeCell ref="M8:M11"/>
    <mergeCell ref="N8:N11"/>
    <mergeCell ref="J8:J11"/>
  </mergeCells>
  <conditionalFormatting sqref="C29">
    <cfRule type="cellIs" dxfId="103" priority="1" stopIfTrue="1" operator="equal">
      <formula>0</formula>
    </cfRule>
    <cfRule type="expression" dxfId="102" priority="2" stopIfTrue="1">
      <formula>#DIV/0!</formula>
    </cfRule>
  </conditionalFormatting>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85"/>
  <sheetViews>
    <sheetView topLeftCell="A130" zoomScaleNormal="100" workbookViewId="0">
      <selection activeCell="I157" sqref="I157"/>
    </sheetView>
  </sheetViews>
  <sheetFormatPr defaultColWidth="9.140625" defaultRowHeight="12.75"/>
  <cols>
    <col min="1" max="1" width="6.5703125" style="117" customWidth="1"/>
    <col min="2" max="2" width="35.5703125" style="117" customWidth="1"/>
    <col min="3" max="3" width="7.5703125" style="117" customWidth="1"/>
    <col min="4" max="4" width="7.140625" style="117" customWidth="1"/>
    <col min="5" max="10" width="9" style="117" customWidth="1"/>
    <col min="11" max="11" width="9.28515625" style="117" customWidth="1"/>
    <col min="12" max="13" width="9.7109375" style="117" customWidth="1"/>
    <col min="14" max="14" width="9.28515625" style="117" customWidth="1"/>
    <col min="15" max="15" width="12" style="117" customWidth="1"/>
    <col min="16" max="16" width="11.7109375" style="117" bestFit="1" customWidth="1"/>
    <col min="17" max="16384" width="9.140625" style="117"/>
  </cols>
  <sheetData>
    <row r="1" spans="1:16" s="102" customFormat="1" ht="14.25">
      <c r="A1" s="396" t="s">
        <v>171</v>
      </c>
      <c r="B1" s="396"/>
      <c r="C1" s="396"/>
      <c r="D1" s="396"/>
      <c r="E1" s="396"/>
      <c r="F1" s="396"/>
      <c r="G1" s="396"/>
      <c r="H1" s="396"/>
      <c r="I1" s="396"/>
      <c r="J1" s="396"/>
      <c r="K1" s="396"/>
      <c r="L1" s="396"/>
      <c r="M1" s="396"/>
      <c r="N1" s="396"/>
      <c r="O1" s="396"/>
    </row>
    <row r="2" spans="1:16" s="102" customFormat="1" ht="14.25">
      <c r="A2" s="397" t="str">
        <f>Kopsavilkums!C20</f>
        <v>0-cikls</v>
      </c>
      <c r="B2" s="397"/>
      <c r="C2" s="397"/>
      <c r="D2" s="397"/>
      <c r="E2" s="397"/>
      <c r="F2" s="397"/>
      <c r="G2" s="397"/>
      <c r="H2" s="397"/>
      <c r="I2" s="397"/>
      <c r="J2" s="397"/>
      <c r="K2" s="397"/>
      <c r="L2" s="397"/>
      <c r="M2" s="397"/>
      <c r="N2" s="397"/>
      <c r="O2" s="397"/>
    </row>
    <row r="3" spans="1:16" s="102" customFormat="1" ht="14.25">
      <c r="A3" s="115" t="s">
        <v>1246</v>
      </c>
      <c r="B3" s="177"/>
      <c r="C3" s="177"/>
      <c r="D3" s="177"/>
      <c r="E3" s="177"/>
      <c r="F3" s="177"/>
      <c r="G3" s="177"/>
      <c r="H3" s="177"/>
      <c r="I3" s="177"/>
      <c r="J3" s="177"/>
      <c r="K3" s="177"/>
      <c r="L3" s="177"/>
      <c r="M3" s="177"/>
      <c r="N3" s="177"/>
      <c r="O3" s="177"/>
    </row>
    <row r="4" spans="1:16" s="102" customFormat="1" ht="14.25">
      <c r="A4" s="115" t="s">
        <v>307</v>
      </c>
      <c r="B4" s="177"/>
      <c r="C4" s="177"/>
      <c r="D4" s="177"/>
      <c r="E4" s="177"/>
      <c r="F4" s="177"/>
      <c r="G4" s="177"/>
      <c r="H4" s="177"/>
      <c r="I4" s="177"/>
      <c r="J4" s="177"/>
      <c r="K4" s="177"/>
      <c r="L4" s="177"/>
      <c r="M4" s="177"/>
      <c r="N4" s="177"/>
      <c r="O4" s="177"/>
    </row>
    <row r="5" spans="1:16" s="102" customFormat="1" ht="14.25">
      <c r="A5" s="115" t="s">
        <v>306</v>
      </c>
      <c r="B5" s="177"/>
      <c r="C5" s="177"/>
      <c r="D5" s="177"/>
      <c r="E5" s="177"/>
      <c r="F5" s="177"/>
      <c r="G5" s="177"/>
      <c r="H5" s="177"/>
      <c r="I5" s="177"/>
      <c r="J5" s="177"/>
      <c r="K5" s="177"/>
      <c r="L5" s="177"/>
      <c r="M5" s="177"/>
      <c r="N5" s="177"/>
      <c r="O5" s="177"/>
    </row>
    <row r="6" spans="1:16" ht="13.5" thickBot="1">
      <c r="E6" s="133"/>
      <c r="F6" s="133"/>
      <c r="G6" s="133"/>
      <c r="H6" s="133"/>
      <c r="I6" s="133"/>
      <c r="J6" s="398" t="s">
        <v>13</v>
      </c>
      <c r="K6" s="398"/>
      <c r="L6" s="398"/>
      <c r="M6" s="398"/>
      <c r="N6" s="399" t="e">
        <f>#REF!</f>
        <v>#REF!</v>
      </c>
      <c r="O6" s="399"/>
    </row>
    <row r="7" spans="1:16" s="133" customFormat="1" ht="12.75" customHeight="1">
      <c r="A7" s="378" t="s">
        <v>27</v>
      </c>
      <c r="B7" s="381" t="s">
        <v>28</v>
      </c>
      <c r="C7" s="381" t="s">
        <v>17</v>
      </c>
      <c r="D7" s="381" t="s">
        <v>19</v>
      </c>
      <c r="E7" s="390" t="s">
        <v>15</v>
      </c>
      <c r="F7" s="391"/>
      <c r="G7" s="391"/>
      <c r="H7" s="391"/>
      <c r="I7" s="391"/>
      <c r="J7" s="392"/>
      <c r="K7" s="390" t="s">
        <v>16</v>
      </c>
      <c r="L7" s="391"/>
      <c r="M7" s="391"/>
      <c r="N7" s="391"/>
      <c r="O7" s="393"/>
    </row>
    <row r="8" spans="1:16" s="133" customFormat="1" ht="12.75" customHeight="1">
      <c r="A8" s="379"/>
      <c r="B8" s="382"/>
      <c r="C8" s="382"/>
      <c r="D8" s="382"/>
      <c r="E8" s="376" t="s">
        <v>18</v>
      </c>
      <c r="F8" s="375" t="s">
        <v>119</v>
      </c>
      <c r="G8" s="375" t="s">
        <v>120</v>
      </c>
      <c r="H8" s="375" t="s">
        <v>121</v>
      </c>
      <c r="I8" s="375" t="s">
        <v>122</v>
      </c>
      <c r="J8" s="372" t="s">
        <v>125</v>
      </c>
      <c r="K8" s="375" t="s">
        <v>20</v>
      </c>
      <c r="L8" s="375" t="s">
        <v>123</v>
      </c>
      <c r="M8" s="375" t="s">
        <v>121</v>
      </c>
      <c r="N8" s="375" t="s">
        <v>122</v>
      </c>
      <c r="O8" s="384" t="s">
        <v>124</v>
      </c>
    </row>
    <row r="9" spans="1:16" s="133" customFormat="1">
      <c r="A9" s="379"/>
      <c r="B9" s="382"/>
      <c r="C9" s="382"/>
      <c r="D9" s="382"/>
      <c r="E9" s="376"/>
      <c r="F9" s="376"/>
      <c r="G9" s="376"/>
      <c r="H9" s="376"/>
      <c r="I9" s="376"/>
      <c r="J9" s="373"/>
      <c r="K9" s="376"/>
      <c r="L9" s="376"/>
      <c r="M9" s="376"/>
      <c r="N9" s="376"/>
      <c r="O9" s="385"/>
    </row>
    <row r="10" spans="1:16" s="133" customFormat="1">
      <c r="A10" s="379"/>
      <c r="B10" s="382"/>
      <c r="C10" s="382"/>
      <c r="D10" s="382"/>
      <c r="E10" s="376"/>
      <c r="F10" s="376"/>
      <c r="G10" s="376"/>
      <c r="H10" s="376"/>
      <c r="I10" s="376"/>
      <c r="J10" s="373"/>
      <c r="K10" s="376"/>
      <c r="L10" s="376"/>
      <c r="M10" s="376"/>
      <c r="N10" s="376"/>
      <c r="O10" s="385"/>
    </row>
    <row r="11" spans="1:16" s="133" customFormat="1" ht="13.5" thickBot="1">
      <c r="A11" s="380"/>
      <c r="B11" s="383"/>
      <c r="C11" s="383"/>
      <c r="D11" s="383"/>
      <c r="E11" s="377"/>
      <c r="F11" s="377"/>
      <c r="G11" s="377"/>
      <c r="H11" s="377"/>
      <c r="I11" s="377"/>
      <c r="J11" s="374"/>
      <c r="K11" s="377"/>
      <c r="L11" s="377"/>
      <c r="M11" s="377"/>
      <c r="N11" s="377"/>
      <c r="O11" s="386"/>
    </row>
    <row r="12" spans="1:16" s="133" customFormat="1" ht="14.25" thickTop="1" thickBot="1">
      <c r="A12" s="52">
        <v>1</v>
      </c>
      <c r="B12" s="53">
        <v>2</v>
      </c>
      <c r="C12" s="53">
        <v>3</v>
      </c>
      <c r="D12" s="53">
        <v>4</v>
      </c>
      <c r="E12" s="53">
        <v>5</v>
      </c>
      <c r="F12" s="53">
        <v>6</v>
      </c>
      <c r="G12" s="53">
        <v>7</v>
      </c>
      <c r="H12" s="53">
        <v>8</v>
      </c>
      <c r="I12" s="53">
        <v>9</v>
      </c>
      <c r="J12" s="54">
        <v>10</v>
      </c>
      <c r="K12" s="53">
        <v>11</v>
      </c>
      <c r="L12" s="54">
        <v>12</v>
      </c>
      <c r="M12" s="53">
        <v>13</v>
      </c>
      <c r="N12" s="54">
        <v>14</v>
      </c>
      <c r="O12" s="55">
        <v>15</v>
      </c>
    </row>
    <row r="13" spans="1:16" s="25" customFormat="1" ht="15" thickTop="1">
      <c r="A13" s="106"/>
      <c r="B13" s="180" t="s">
        <v>363</v>
      </c>
      <c r="C13" s="13"/>
      <c r="D13" s="9"/>
      <c r="E13" s="33"/>
      <c r="F13" s="33"/>
      <c r="G13" s="4"/>
      <c r="H13" s="4"/>
      <c r="I13" s="4"/>
      <c r="J13" s="4"/>
      <c r="K13" s="4"/>
      <c r="L13" s="4"/>
      <c r="M13" s="4"/>
      <c r="N13" s="4"/>
      <c r="O13" s="20"/>
      <c r="P13" s="117"/>
    </row>
    <row r="14" spans="1:16" s="25" customFormat="1" ht="14.25">
      <c r="A14" s="106"/>
      <c r="B14" s="180" t="s">
        <v>312</v>
      </c>
      <c r="C14" s="13"/>
      <c r="D14" s="9"/>
      <c r="E14" s="33"/>
      <c r="F14" s="33"/>
      <c r="G14" s="4"/>
      <c r="H14" s="4"/>
      <c r="I14" s="4"/>
      <c r="J14" s="4"/>
      <c r="K14" s="4"/>
      <c r="L14" s="4"/>
      <c r="M14" s="4"/>
      <c r="N14" s="4"/>
      <c r="O14" s="20"/>
      <c r="P14" s="117"/>
    </row>
    <row r="15" spans="1:16">
      <c r="A15" s="106">
        <f t="shared" ref="A15" si="0">A14+1</f>
        <v>1</v>
      </c>
      <c r="B15" s="158" t="s">
        <v>342</v>
      </c>
      <c r="C15" s="116" t="s">
        <v>26</v>
      </c>
      <c r="D15" s="242">
        <v>21.7</v>
      </c>
      <c r="E15" s="33"/>
      <c r="F15" s="4"/>
      <c r="G15" s="4"/>
      <c r="H15" s="33"/>
      <c r="I15" s="4"/>
      <c r="J15" s="337"/>
      <c r="K15" s="338"/>
      <c r="L15" s="338"/>
      <c r="M15" s="338"/>
      <c r="N15" s="338"/>
      <c r="O15" s="339"/>
    </row>
    <row r="16" spans="1:16" s="25" customFormat="1" ht="14.25">
      <c r="A16" s="19" t="s">
        <v>72</v>
      </c>
      <c r="B16" s="118" t="s">
        <v>340</v>
      </c>
      <c r="C16" s="226" t="s">
        <v>26</v>
      </c>
      <c r="D16" s="9">
        <f>ROUND(D15*1.08,2)</f>
        <v>23.44</v>
      </c>
      <c r="E16" s="33"/>
      <c r="F16" s="33"/>
      <c r="G16" s="33"/>
      <c r="H16" s="100"/>
      <c r="I16" s="33"/>
      <c r="J16" s="337"/>
      <c r="K16" s="338"/>
      <c r="L16" s="338"/>
      <c r="M16" s="338"/>
      <c r="N16" s="338"/>
      <c r="O16" s="339"/>
      <c r="P16" s="205"/>
    </row>
    <row r="17" spans="1:59" s="25" customFormat="1" ht="14.25">
      <c r="A17" s="19" t="s">
        <v>73</v>
      </c>
      <c r="B17" s="24" t="s">
        <v>347</v>
      </c>
      <c r="C17" s="13" t="s">
        <v>30</v>
      </c>
      <c r="D17" s="10">
        <v>1</v>
      </c>
      <c r="E17" s="36"/>
      <c r="F17" s="4"/>
      <c r="G17" s="4"/>
      <c r="H17" s="129"/>
      <c r="I17" s="4"/>
      <c r="J17" s="337"/>
      <c r="K17" s="338"/>
      <c r="L17" s="338"/>
      <c r="M17" s="338"/>
      <c r="N17" s="338"/>
      <c r="O17" s="339"/>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row>
    <row r="18" spans="1:59" s="25" customFormat="1" ht="14.25">
      <c r="A18" s="19" t="s">
        <v>1370</v>
      </c>
      <c r="B18" s="24" t="s">
        <v>319</v>
      </c>
      <c r="C18" s="13" t="s">
        <v>30</v>
      </c>
      <c r="D18" s="10">
        <v>1</v>
      </c>
      <c r="E18" s="36"/>
      <c r="F18" s="4"/>
      <c r="G18" s="4"/>
      <c r="H18" s="4"/>
      <c r="I18" s="4"/>
      <c r="J18" s="337"/>
      <c r="K18" s="338"/>
      <c r="L18" s="338"/>
      <c r="M18" s="338"/>
      <c r="N18" s="338"/>
      <c r="O18" s="339"/>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row>
    <row r="19" spans="1:59" s="25" customFormat="1" ht="14.25">
      <c r="A19" s="19" t="s">
        <v>1371</v>
      </c>
      <c r="B19" s="118" t="s">
        <v>1135</v>
      </c>
      <c r="C19" s="116" t="s">
        <v>26</v>
      </c>
      <c r="D19" s="242">
        <f>D15</f>
        <v>21.7</v>
      </c>
      <c r="E19" s="33"/>
      <c r="F19" s="4"/>
      <c r="G19" s="4"/>
      <c r="H19" s="4"/>
      <c r="I19" s="4"/>
      <c r="J19" s="337"/>
      <c r="K19" s="338"/>
      <c r="L19" s="338"/>
      <c r="M19" s="338"/>
      <c r="N19" s="338"/>
      <c r="O19" s="339"/>
      <c r="P19" s="205"/>
    </row>
    <row r="20" spans="1:59" s="25" customFormat="1" ht="14.25">
      <c r="A20" s="106">
        <v>2</v>
      </c>
      <c r="B20" s="2" t="s">
        <v>344</v>
      </c>
      <c r="C20" s="226" t="s">
        <v>26</v>
      </c>
      <c r="D20" s="9">
        <v>98.8</v>
      </c>
      <c r="E20" s="9"/>
      <c r="F20" s="4"/>
      <c r="G20" s="4"/>
      <c r="H20" s="34"/>
      <c r="I20" s="4"/>
      <c r="J20" s="337"/>
      <c r="K20" s="338"/>
      <c r="L20" s="338"/>
      <c r="M20" s="338"/>
      <c r="N20" s="338"/>
      <c r="O20" s="339"/>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row>
    <row r="21" spans="1:59" s="25" customFormat="1" ht="14.25">
      <c r="A21" s="19" t="s">
        <v>1372</v>
      </c>
      <c r="B21" s="118" t="s">
        <v>210</v>
      </c>
      <c r="C21" s="226" t="s">
        <v>26</v>
      </c>
      <c r="D21" s="9">
        <f>ROUND(D20*1.02,2)</f>
        <v>100.78</v>
      </c>
      <c r="E21" s="4"/>
      <c r="F21" s="33"/>
      <c r="G21" s="33"/>
      <c r="H21" s="4"/>
      <c r="I21" s="33"/>
      <c r="J21" s="337"/>
      <c r="K21" s="338"/>
      <c r="L21" s="338"/>
      <c r="M21" s="338"/>
      <c r="N21" s="338"/>
      <c r="O21" s="339"/>
      <c r="P21" s="205"/>
    </row>
    <row r="22" spans="1:59" s="25" customFormat="1" ht="14.25">
      <c r="A22" s="19" t="s">
        <v>1373</v>
      </c>
      <c r="B22" s="21" t="s">
        <v>318</v>
      </c>
      <c r="C22" s="13" t="s">
        <v>30</v>
      </c>
      <c r="D22" s="10">
        <v>1</v>
      </c>
      <c r="E22" s="9"/>
      <c r="F22" s="33"/>
      <c r="G22" s="4"/>
      <c r="H22" s="129"/>
      <c r="I22" s="4"/>
      <c r="J22" s="337"/>
      <c r="K22" s="338"/>
      <c r="L22" s="338"/>
      <c r="M22" s="338"/>
      <c r="N22" s="338"/>
      <c r="O22" s="339"/>
    </row>
    <row r="23" spans="1:59" s="25" customFormat="1" ht="14.25">
      <c r="A23" s="19" t="s">
        <v>1374</v>
      </c>
      <c r="B23" s="21" t="s">
        <v>319</v>
      </c>
      <c r="C23" s="13" t="s">
        <v>30</v>
      </c>
      <c r="D23" s="10">
        <v>1</v>
      </c>
      <c r="E23" s="9"/>
      <c r="F23" s="33"/>
      <c r="G23" s="4"/>
      <c r="H23" s="4"/>
      <c r="I23" s="4"/>
      <c r="J23" s="337"/>
      <c r="K23" s="338"/>
      <c r="L23" s="338"/>
      <c r="M23" s="338"/>
      <c r="N23" s="338"/>
      <c r="O23" s="339"/>
    </row>
    <row r="24" spans="1:59" s="25" customFormat="1" ht="14.25">
      <c r="A24" s="19" t="s">
        <v>1375</v>
      </c>
      <c r="B24" s="118" t="s">
        <v>320</v>
      </c>
      <c r="C24" s="226" t="s">
        <v>321</v>
      </c>
      <c r="D24" s="140">
        <f>ROUND(D20/10,2)</f>
        <v>9.8800000000000008</v>
      </c>
      <c r="E24" s="4"/>
      <c r="F24" s="33"/>
      <c r="G24" s="33"/>
      <c r="H24" s="4"/>
      <c r="I24" s="33"/>
      <c r="J24" s="337"/>
      <c r="K24" s="338"/>
      <c r="L24" s="338"/>
      <c r="M24" s="338"/>
      <c r="N24" s="338"/>
      <c r="O24" s="339"/>
      <c r="P24" s="205"/>
    </row>
    <row r="25" spans="1:59">
      <c r="A25" s="106">
        <v>3</v>
      </c>
      <c r="B25" s="158" t="s">
        <v>175</v>
      </c>
      <c r="C25" s="13" t="s">
        <v>39</v>
      </c>
      <c r="D25" s="289">
        <f>1.2862+1.4056+1.0578+0.3374+0.5852</f>
        <v>4.6722000000000001</v>
      </c>
      <c r="E25" s="33"/>
      <c r="F25" s="4"/>
      <c r="G25" s="4"/>
      <c r="H25" s="33"/>
      <c r="I25" s="4"/>
      <c r="J25" s="337"/>
      <c r="K25" s="338"/>
      <c r="L25" s="338"/>
      <c r="M25" s="338"/>
      <c r="N25" s="338"/>
      <c r="O25" s="339"/>
    </row>
    <row r="26" spans="1:59" s="25" customFormat="1" ht="14.25">
      <c r="A26" s="19" t="s">
        <v>1376</v>
      </c>
      <c r="B26" s="21" t="s">
        <v>322</v>
      </c>
      <c r="C26" s="13" t="s">
        <v>39</v>
      </c>
      <c r="D26" s="161">
        <f>ROUND(D25*1.1,4)</f>
        <v>5.1394000000000002</v>
      </c>
      <c r="E26" s="11"/>
      <c r="F26" s="33"/>
      <c r="G26" s="4"/>
      <c r="H26" s="11"/>
      <c r="I26" s="4"/>
      <c r="J26" s="337"/>
      <c r="K26" s="338"/>
      <c r="L26" s="338"/>
      <c r="M26" s="338"/>
      <c r="N26" s="338"/>
      <c r="O26" s="339"/>
    </row>
    <row r="27" spans="1:59" s="25" customFormat="1" ht="12" customHeight="1">
      <c r="A27" s="19" t="s">
        <v>1377</v>
      </c>
      <c r="B27" s="21" t="s">
        <v>178</v>
      </c>
      <c r="C27" s="13" t="s">
        <v>39</v>
      </c>
      <c r="D27" s="161">
        <f>ROUND(SUM(D26)*0.035,4)</f>
        <v>0.1799</v>
      </c>
      <c r="E27" s="9"/>
      <c r="F27" s="33"/>
      <c r="G27" s="4"/>
      <c r="H27" s="4"/>
      <c r="I27" s="4"/>
      <c r="J27" s="337"/>
      <c r="K27" s="338"/>
      <c r="L27" s="338"/>
      <c r="M27" s="338"/>
      <c r="N27" s="338"/>
      <c r="O27" s="339"/>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row>
    <row r="28" spans="1:59" s="25" customFormat="1" ht="14.25">
      <c r="A28" s="19" t="s">
        <v>1378</v>
      </c>
      <c r="B28" s="24" t="s">
        <v>323</v>
      </c>
      <c r="C28" s="13" t="s">
        <v>29</v>
      </c>
      <c r="D28" s="10">
        <f>ROUND(D20/0.2*9,0)</f>
        <v>4446</v>
      </c>
      <c r="E28" s="36"/>
      <c r="F28" s="4"/>
      <c r="G28" s="4"/>
      <c r="H28" s="4"/>
      <c r="I28" s="4"/>
      <c r="J28" s="337"/>
      <c r="K28" s="338"/>
      <c r="L28" s="338"/>
      <c r="M28" s="338"/>
      <c r="N28" s="338"/>
      <c r="O28" s="339"/>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row>
    <row r="29" spans="1:59" s="25" customFormat="1" ht="14.25">
      <c r="A29" s="106">
        <v>4</v>
      </c>
      <c r="B29" s="2" t="s">
        <v>346</v>
      </c>
      <c r="C29" s="13" t="s">
        <v>39</v>
      </c>
      <c r="D29" s="161">
        <v>0.58520000000000005</v>
      </c>
      <c r="E29" s="153"/>
      <c r="F29" s="4"/>
      <c r="G29" s="4"/>
      <c r="H29" s="4"/>
      <c r="I29" s="4"/>
      <c r="J29" s="337"/>
      <c r="K29" s="338"/>
      <c r="L29" s="338"/>
      <c r="M29" s="338"/>
      <c r="N29" s="338"/>
      <c r="O29" s="339"/>
    </row>
    <row r="30" spans="1:59" s="25" customFormat="1" ht="14.25">
      <c r="A30" s="106"/>
      <c r="B30" s="180" t="s">
        <v>365</v>
      </c>
      <c r="C30" s="13"/>
      <c r="D30" s="9"/>
      <c r="E30" s="33"/>
      <c r="F30" s="33"/>
      <c r="G30" s="4"/>
      <c r="H30" s="4"/>
      <c r="I30" s="4"/>
      <c r="J30" s="4"/>
      <c r="K30" s="4"/>
      <c r="L30" s="4"/>
      <c r="M30" s="4"/>
      <c r="N30" s="4"/>
      <c r="O30" s="20"/>
      <c r="P30" s="117"/>
    </row>
    <row r="31" spans="1:59">
      <c r="A31" s="106">
        <v>5</v>
      </c>
      <c r="B31" s="158" t="s">
        <v>342</v>
      </c>
      <c r="C31" s="116" t="s">
        <v>26</v>
      </c>
      <c r="D31" s="242">
        <v>7.1</v>
      </c>
      <c r="E31" s="33"/>
      <c r="F31" s="4"/>
      <c r="G31" s="4"/>
      <c r="H31" s="33"/>
      <c r="I31" s="4"/>
      <c r="J31" s="337"/>
      <c r="K31" s="338"/>
      <c r="L31" s="338"/>
      <c r="M31" s="338"/>
      <c r="N31" s="338"/>
      <c r="O31" s="339"/>
    </row>
    <row r="32" spans="1:59" s="25" customFormat="1" ht="14.25">
      <c r="A32" s="19" t="s">
        <v>1369</v>
      </c>
      <c r="B32" s="118" t="s">
        <v>340</v>
      </c>
      <c r="C32" s="226" t="s">
        <v>26</v>
      </c>
      <c r="D32" s="9">
        <f>ROUND(D31*1.08,2)</f>
        <v>7.67</v>
      </c>
      <c r="E32" s="33"/>
      <c r="F32" s="33"/>
      <c r="G32" s="33"/>
      <c r="H32" s="100"/>
      <c r="I32" s="33"/>
      <c r="J32" s="337"/>
      <c r="K32" s="338"/>
      <c r="L32" s="338"/>
      <c r="M32" s="338"/>
      <c r="N32" s="338"/>
      <c r="O32" s="339"/>
      <c r="P32" s="205"/>
    </row>
    <row r="33" spans="1:59" s="25" customFormat="1" ht="14.25">
      <c r="A33" s="19" t="s">
        <v>1379</v>
      </c>
      <c r="B33" s="24" t="s">
        <v>347</v>
      </c>
      <c r="C33" s="13" t="s">
        <v>30</v>
      </c>
      <c r="D33" s="10">
        <v>1</v>
      </c>
      <c r="E33" s="36"/>
      <c r="F33" s="4"/>
      <c r="G33" s="4"/>
      <c r="H33" s="129"/>
      <c r="I33" s="4"/>
      <c r="J33" s="337"/>
      <c r="K33" s="338"/>
      <c r="L33" s="338"/>
      <c r="M33" s="338"/>
      <c r="N33" s="338"/>
      <c r="O33" s="339"/>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row>
    <row r="34" spans="1:59" s="25" customFormat="1" ht="14.25">
      <c r="A34" s="19" t="s">
        <v>1380</v>
      </c>
      <c r="B34" s="24" t="s">
        <v>319</v>
      </c>
      <c r="C34" s="13" t="s">
        <v>30</v>
      </c>
      <c r="D34" s="10">
        <v>1</v>
      </c>
      <c r="E34" s="36"/>
      <c r="F34" s="4"/>
      <c r="G34" s="4"/>
      <c r="H34" s="4"/>
      <c r="I34" s="4"/>
      <c r="J34" s="337"/>
      <c r="K34" s="338"/>
      <c r="L34" s="338"/>
      <c r="M34" s="338"/>
      <c r="N34" s="338"/>
      <c r="O34" s="339"/>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row>
    <row r="35" spans="1:59" s="25" customFormat="1" ht="14.25">
      <c r="A35" s="19" t="s">
        <v>1381</v>
      </c>
      <c r="B35" s="118" t="s">
        <v>1135</v>
      </c>
      <c r="C35" s="116" t="s">
        <v>26</v>
      </c>
      <c r="D35" s="242">
        <f>D31</f>
        <v>7.1</v>
      </c>
      <c r="E35" s="33"/>
      <c r="F35" s="4"/>
      <c r="G35" s="4"/>
      <c r="H35" s="4"/>
      <c r="I35" s="4"/>
      <c r="J35" s="337"/>
      <c r="K35" s="338"/>
      <c r="L35" s="338"/>
      <c r="M35" s="338"/>
      <c r="N35" s="338"/>
      <c r="O35" s="339"/>
      <c r="P35" s="205"/>
    </row>
    <row r="36" spans="1:59" s="25" customFormat="1" ht="14.25">
      <c r="A36" s="106">
        <v>6</v>
      </c>
      <c r="B36" s="2" t="s">
        <v>344</v>
      </c>
      <c r="C36" s="226" t="s">
        <v>26</v>
      </c>
      <c r="D36" s="9">
        <v>32.700000000000003</v>
      </c>
      <c r="E36" s="9"/>
      <c r="F36" s="4"/>
      <c r="G36" s="4"/>
      <c r="H36" s="34"/>
      <c r="I36" s="4"/>
      <c r="J36" s="337"/>
      <c r="K36" s="338"/>
      <c r="L36" s="338"/>
      <c r="M36" s="338"/>
      <c r="N36" s="338"/>
      <c r="O36" s="339"/>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row>
    <row r="37" spans="1:59" s="25" customFormat="1" ht="14.25">
      <c r="A37" s="19" t="s">
        <v>1382</v>
      </c>
      <c r="B37" s="118" t="s">
        <v>210</v>
      </c>
      <c r="C37" s="226" t="s">
        <v>26</v>
      </c>
      <c r="D37" s="9">
        <f>ROUND(D36*1.02,2)</f>
        <v>33.35</v>
      </c>
      <c r="E37" s="4"/>
      <c r="F37" s="33"/>
      <c r="G37" s="33"/>
      <c r="H37" s="4"/>
      <c r="I37" s="33"/>
      <c r="J37" s="337"/>
      <c r="K37" s="338"/>
      <c r="L37" s="338"/>
      <c r="M37" s="338"/>
      <c r="N37" s="338"/>
      <c r="O37" s="339"/>
      <c r="P37" s="205"/>
    </row>
    <row r="38" spans="1:59" s="25" customFormat="1" ht="14.25">
      <c r="A38" s="19" t="s">
        <v>1383</v>
      </c>
      <c r="B38" s="21" t="s">
        <v>318</v>
      </c>
      <c r="C38" s="13" t="s">
        <v>30</v>
      </c>
      <c r="D38" s="10">
        <v>1</v>
      </c>
      <c r="E38" s="9"/>
      <c r="F38" s="33"/>
      <c r="G38" s="4"/>
      <c r="H38" s="129"/>
      <c r="I38" s="4"/>
      <c r="J38" s="337"/>
      <c r="K38" s="338"/>
      <c r="L38" s="338"/>
      <c r="M38" s="338"/>
      <c r="N38" s="338"/>
      <c r="O38" s="339"/>
    </row>
    <row r="39" spans="1:59" s="25" customFormat="1" ht="14.25">
      <c r="A39" s="19" t="s">
        <v>1384</v>
      </c>
      <c r="B39" s="21" t="s">
        <v>319</v>
      </c>
      <c r="C39" s="13" t="s">
        <v>30</v>
      </c>
      <c r="D39" s="10">
        <v>1</v>
      </c>
      <c r="E39" s="9"/>
      <c r="F39" s="33"/>
      <c r="G39" s="4"/>
      <c r="H39" s="4"/>
      <c r="I39" s="4"/>
      <c r="J39" s="337"/>
      <c r="K39" s="338"/>
      <c r="L39" s="338"/>
      <c r="M39" s="338"/>
      <c r="N39" s="338"/>
      <c r="O39" s="339"/>
    </row>
    <row r="40" spans="1:59" s="25" customFormat="1" ht="14.25">
      <c r="A40" s="19" t="s">
        <v>1385</v>
      </c>
      <c r="B40" s="118" t="s">
        <v>320</v>
      </c>
      <c r="C40" s="226" t="s">
        <v>321</v>
      </c>
      <c r="D40" s="140">
        <f>ROUND(D36/10,2)</f>
        <v>3.27</v>
      </c>
      <c r="E40" s="4"/>
      <c r="F40" s="33"/>
      <c r="G40" s="33"/>
      <c r="H40" s="4"/>
      <c r="I40" s="33"/>
      <c r="J40" s="337"/>
      <c r="K40" s="338"/>
      <c r="L40" s="338"/>
      <c r="M40" s="338"/>
      <c r="N40" s="338"/>
      <c r="O40" s="339"/>
      <c r="P40" s="205"/>
    </row>
    <row r="41" spans="1:59">
      <c r="A41" s="106">
        <v>7</v>
      </c>
      <c r="B41" s="158" t="s">
        <v>175</v>
      </c>
      <c r="C41" s="13" t="s">
        <v>39</v>
      </c>
      <c r="D41" s="289">
        <v>1.5824</v>
      </c>
      <c r="E41" s="33"/>
      <c r="F41" s="4"/>
      <c r="G41" s="4"/>
      <c r="H41" s="33"/>
      <c r="I41" s="4"/>
      <c r="J41" s="337"/>
      <c r="K41" s="338"/>
      <c r="L41" s="338"/>
      <c r="M41" s="338"/>
      <c r="N41" s="338"/>
      <c r="O41" s="339"/>
    </row>
    <row r="42" spans="1:59" s="25" customFormat="1" ht="14.25">
      <c r="A42" s="19" t="s">
        <v>268</v>
      </c>
      <c r="B42" s="21" t="s">
        <v>322</v>
      </c>
      <c r="C42" s="13" t="s">
        <v>39</v>
      </c>
      <c r="D42" s="161">
        <f>ROUND(D41*1.1,4)</f>
        <v>1.7405999999999999</v>
      </c>
      <c r="E42" s="11"/>
      <c r="F42" s="33"/>
      <c r="G42" s="4"/>
      <c r="H42" s="11"/>
      <c r="I42" s="4"/>
      <c r="J42" s="337"/>
      <c r="K42" s="338"/>
      <c r="L42" s="338"/>
      <c r="M42" s="338"/>
      <c r="N42" s="338"/>
      <c r="O42" s="339"/>
    </row>
    <row r="43" spans="1:59" s="25" customFormat="1" ht="12" customHeight="1">
      <c r="A43" s="19" t="s">
        <v>269</v>
      </c>
      <c r="B43" s="21" t="s">
        <v>178</v>
      </c>
      <c r="C43" s="13" t="s">
        <v>39</v>
      </c>
      <c r="D43" s="161">
        <f>ROUND(SUM(D42)*0.035,4)</f>
        <v>6.0900000000000003E-2</v>
      </c>
      <c r="E43" s="9"/>
      <c r="F43" s="33"/>
      <c r="G43" s="4"/>
      <c r="H43" s="4"/>
      <c r="I43" s="4"/>
      <c r="J43" s="337"/>
      <c r="K43" s="338"/>
      <c r="L43" s="338"/>
      <c r="M43" s="338"/>
      <c r="N43" s="338"/>
      <c r="O43" s="339"/>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row>
    <row r="44" spans="1:59" s="25" customFormat="1" ht="14.25">
      <c r="A44" s="19" t="s">
        <v>270</v>
      </c>
      <c r="B44" s="24" t="s">
        <v>323</v>
      </c>
      <c r="C44" s="13" t="s">
        <v>29</v>
      </c>
      <c r="D44" s="10">
        <f>ROUND(D36/0.2*9,0)</f>
        <v>1472</v>
      </c>
      <c r="E44" s="36"/>
      <c r="F44" s="4"/>
      <c r="G44" s="4"/>
      <c r="H44" s="4"/>
      <c r="I44" s="4"/>
      <c r="J44" s="337"/>
      <c r="K44" s="338"/>
      <c r="L44" s="338"/>
      <c r="M44" s="338"/>
      <c r="N44" s="338"/>
      <c r="O44" s="339"/>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row>
    <row r="45" spans="1:59" s="25" customFormat="1" ht="14.25">
      <c r="A45" s="106">
        <v>8</v>
      </c>
      <c r="B45" s="2" t="s">
        <v>346</v>
      </c>
      <c r="C45" s="13" t="s">
        <v>39</v>
      </c>
      <c r="D45" s="161">
        <v>0.21560000000000001</v>
      </c>
      <c r="E45" s="153"/>
      <c r="F45" s="4"/>
      <c r="G45" s="4"/>
      <c r="H45" s="4"/>
      <c r="I45" s="4"/>
      <c r="J45" s="337"/>
      <c r="K45" s="338"/>
      <c r="L45" s="338"/>
      <c r="M45" s="338"/>
      <c r="N45" s="338"/>
      <c r="O45" s="339"/>
    </row>
    <row r="46" spans="1:59" s="25" customFormat="1" ht="14.25">
      <c r="A46" s="106"/>
      <c r="B46" s="180" t="s">
        <v>366</v>
      </c>
      <c r="C46" s="13"/>
      <c r="D46" s="9"/>
      <c r="E46" s="33"/>
      <c r="F46" s="33"/>
      <c r="G46" s="4"/>
      <c r="H46" s="4"/>
      <c r="I46" s="4"/>
      <c r="J46" s="4"/>
      <c r="K46" s="4"/>
      <c r="L46" s="4"/>
      <c r="M46" s="4"/>
      <c r="N46" s="4"/>
      <c r="O46" s="20"/>
      <c r="P46" s="117"/>
    </row>
    <row r="47" spans="1:59">
      <c r="A47" s="106">
        <v>9</v>
      </c>
      <c r="B47" s="158" t="s">
        <v>342</v>
      </c>
      <c r="C47" s="116" t="s">
        <v>26</v>
      </c>
      <c r="D47" s="242">
        <v>2.8</v>
      </c>
      <c r="E47" s="33"/>
      <c r="F47" s="4"/>
      <c r="G47" s="4"/>
      <c r="H47" s="33"/>
      <c r="I47" s="4"/>
      <c r="J47" s="337"/>
      <c r="K47" s="338"/>
      <c r="L47" s="338"/>
      <c r="M47" s="338"/>
      <c r="N47" s="338"/>
      <c r="O47" s="339"/>
    </row>
    <row r="48" spans="1:59" s="25" customFormat="1" ht="14.25">
      <c r="A48" s="19" t="s">
        <v>1386</v>
      </c>
      <c r="B48" s="118" t="s">
        <v>340</v>
      </c>
      <c r="C48" s="226" t="s">
        <v>26</v>
      </c>
      <c r="D48" s="9">
        <f>ROUND(D47*1.08,2)</f>
        <v>3.02</v>
      </c>
      <c r="E48" s="33"/>
      <c r="F48" s="33"/>
      <c r="G48" s="33"/>
      <c r="H48" s="100"/>
      <c r="I48" s="33"/>
      <c r="J48" s="337"/>
      <c r="K48" s="338"/>
      <c r="L48" s="338"/>
      <c r="M48" s="338"/>
      <c r="N48" s="338"/>
      <c r="O48" s="339"/>
      <c r="P48" s="205"/>
    </row>
    <row r="49" spans="1:59" s="25" customFormat="1" ht="14.25">
      <c r="A49" s="19" t="s">
        <v>1387</v>
      </c>
      <c r="B49" s="24" t="s">
        <v>347</v>
      </c>
      <c r="C49" s="13" t="s">
        <v>30</v>
      </c>
      <c r="D49" s="10">
        <v>1</v>
      </c>
      <c r="E49" s="36"/>
      <c r="F49" s="4"/>
      <c r="G49" s="4"/>
      <c r="H49" s="129"/>
      <c r="I49" s="4"/>
      <c r="J49" s="337"/>
      <c r="K49" s="338"/>
      <c r="L49" s="338"/>
      <c r="M49" s="338"/>
      <c r="N49" s="338"/>
      <c r="O49" s="339"/>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row>
    <row r="50" spans="1:59" s="25" customFormat="1" ht="14.25">
      <c r="A50" s="19" t="s">
        <v>1388</v>
      </c>
      <c r="B50" s="24" t="s">
        <v>319</v>
      </c>
      <c r="C50" s="13" t="s">
        <v>30</v>
      </c>
      <c r="D50" s="10">
        <v>1</v>
      </c>
      <c r="E50" s="36"/>
      <c r="F50" s="4"/>
      <c r="G50" s="4"/>
      <c r="H50" s="4"/>
      <c r="I50" s="4"/>
      <c r="J50" s="337"/>
      <c r="K50" s="338"/>
      <c r="L50" s="338"/>
      <c r="M50" s="338"/>
      <c r="N50" s="338"/>
      <c r="O50" s="339"/>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row>
    <row r="51" spans="1:59" s="25" customFormat="1" ht="14.25">
      <c r="A51" s="19" t="s">
        <v>1389</v>
      </c>
      <c r="B51" s="118" t="s">
        <v>1135</v>
      </c>
      <c r="C51" s="116" t="s">
        <v>26</v>
      </c>
      <c r="D51" s="242">
        <f>D47</f>
        <v>2.8</v>
      </c>
      <c r="E51" s="33"/>
      <c r="F51" s="4"/>
      <c r="G51" s="4"/>
      <c r="H51" s="4"/>
      <c r="I51" s="4"/>
      <c r="J51" s="337"/>
      <c r="K51" s="338"/>
      <c r="L51" s="338"/>
      <c r="M51" s="338"/>
      <c r="N51" s="338"/>
      <c r="O51" s="339"/>
      <c r="P51" s="205"/>
    </row>
    <row r="52" spans="1:59" s="25" customFormat="1" ht="14.25">
      <c r="A52" s="106">
        <v>10</v>
      </c>
      <c r="B52" s="2" t="s">
        <v>344</v>
      </c>
      <c r="C52" s="226" t="s">
        <v>26</v>
      </c>
      <c r="D52" s="9">
        <v>13</v>
      </c>
      <c r="E52" s="9"/>
      <c r="F52" s="4"/>
      <c r="G52" s="4"/>
      <c r="H52" s="34"/>
      <c r="I52" s="4"/>
      <c r="J52" s="337"/>
      <c r="K52" s="338"/>
      <c r="L52" s="338"/>
      <c r="M52" s="338"/>
      <c r="N52" s="338"/>
      <c r="O52" s="339"/>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row>
    <row r="53" spans="1:59" s="25" customFormat="1" ht="14.25">
      <c r="A53" s="19" t="s">
        <v>1390</v>
      </c>
      <c r="B53" s="118" t="s">
        <v>210</v>
      </c>
      <c r="C53" s="226" t="s">
        <v>26</v>
      </c>
      <c r="D53" s="9">
        <f>ROUND(D52*1.02,2)</f>
        <v>13.26</v>
      </c>
      <c r="E53" s="4"/>
      <c r="F53" s="33"/>
      <c r="G53" s="33"/>
      <c r="H53" s="4"/>
      <c r="I53" s="33"/>
      <c r="J53" s="337"/>
      <c r="K53" s="338"/>
      <c r="L53" s="338"/>
      <c r="M53" s="338"/>
      <c r="N53" s="338"/>
      <c r="O53" s="339"/>
      <c r="P53" s="205"/>
    </row>
    <row r="54" spans="1:59" s="25" customFormat="1" ht="14.25">
      <c r="A54" s="19" t="s">
        <v>1391</v>
      </c>
      <c r="B54" s="21" t="s">
        <v>318</v>
      </c>
      <c r="C54" s="13" t="s">
        <v>30</v>
      </c>
      <c r="D54" s="10">
        <v>1</v>
      </c>
      <c r="E54" s="9"/>
      <c r="F54" s="33"/>
      <c r="G54" s="4"/>
      <c r="H54" s="129"/>
      <c r="I54" s="4"/>
      <c r="J54" s="337"/>
      <c r="K54" s="338"/>
      <c r="L54" s="338"/>
      <c r="M54" s="338"/>
      <c r="N54" s="338"/>
      <c r="O54" s="339"/>
    </row>
    <row r="55" spans="1:59" s="25" customFormat="1" ht="14.25">
      <c r="A55" s="19" t="s">
        <v>1392</v>
      </c>
      <c r="B55" s="21" t="s">
        <v>319</v>
      </c>
      <c r="C55" s="13" t="s">
        <v>30</v>
      </c>
      <c r="D55" s="10">
        <v>1</v>
      </c>
      <c r="E55" s="9"/>
      <c r="F55" s="33"/>
      <c r="G55" s="4"/>
      <c r="H55" s="4"/>
      <c r="I55" s="4"/>
      <c r="J55" s="337"/>
      <c r="K55" s="338"/>
      <c r="L55" s="338"/>
      <c r="M55" s="338"/>
      <c r="N55" s="338"/>
      <c r="O55" s="339"/>
    </row>
    <row r="56" spans="1:59" s="25" customFormat="1" ht="14.25">
      <c r="A56" s="19" t="s">
        <v>1433</v>
      </c>
      <c r="B56" s="118" t="s">
        <v>320</v>
      </c>
      <c r="C56" s="226" t="s">
        <v>321</v>
      </c>
      <c r="D56" s="140">
        <f>ROUND(D52/10,2)</f>
        <v>1.3</v>
      </c>
      <c r="E56" s="4"/>
      <c r="F56" s="33"/>
      <c r="G56" s="33"/>
      <c r="H56" s="4"/>
      <c r="I56" s="33"/>
      <c r="J56" s="337"/>
      <c r="K56" s="338"/>
      <c r="L56" s="338"/>
      <c r="M56" s="338"/>
      <c r="N56" s="338"/>
      <c r="O56" s="339"/>
      <c r="P56" s="205"/>
    </row>
    <row r="57" spans="1:59">
      <c r="A57" s="106">
        <v>11</v>
      </c>
      <c r="B57" s="158" t="s">
        <v>175</v>
      </c>
      <c r="C57" s="13" t="s">
        <v>39</v>
      </c>
      <c r="D57" s="289">
        <v>0.56140000000000001</v>
      </c>
      <c r="E57" s="33"/>
      <c r="F57" s="4"/>
      <c r="G57" s="4"/>
      <c r="H57" s="33"/>
      <c r="I57" s="4"/>
      <c r="J57" s="337"/>
      <c r="K57" s="338"/>
      <c r="L57" s="338"/>
      <c r="M57" s="338"/>
      <c r="N57" s="338"/>
      <c r="O57" s="339"/>
    </row>
    <row r="58" spans="1:59" s="25" customFormat="1" ht="14.25">
      <c r="A58" s="19" t="s">
        <v>1393</v>
      </c>
      <c r="B58" s="21" t="s">
        <v>322</v>
      </c>
      <c r="C58" s="13" t="s">
        <v>39</v>
      </c>
      <c r="D58" s="161">
        <f>ROUND(D57*1.1,4)</f>
        <v>0.61750000000000005</v>
      </c>
      <c r="E58" s="11"/>
      <c r="F58" s="33"/>
      <c r="G58" s="4"/>
      <c r="H58" s="11"/>
      <c r="I58" s="4"/>
      <c r="J58" s="337"/>
      <c r="K58" s="338"/>
      <c r="L58" s="338"/>
      <c r="M58" s="338"/>
      <c r="N58" s="338"/>
      <c r="O58" s="339"/>
    </row>
    <row r="59" spans="1:59" s="25" customFormat="1" ht="12" customHeight="1">
      <c r="A59" s="19" t="s">
        <v>1394</v>
      </c>
      <c r="B59" s="21" t="s">
        <v>178</v>
      </c>
      <c r="C59" s="13" t="s">
        <v>39</v>
      </c>
      <c r="D59" s="161">
        <f>ROUND(SUM(D58)*0.035,4)</f>
        <v>2.1600000000000001E-2</v>
      </c>
      <c r="E59" s="9"/>
      <c r="F59" s="33"/>
      <c r="G59" s="4"/>
      <c r="H59" s="4"/>
      <c r="I59" s="4"/>
      <c r="J59" s="337"/>
      <c r="K59" s="338"/>
      <c r="L59" s="338"/>
      <c r="M59" s="338"/>
      <c r="N59" s="338"/>
      <c r="O59" s="339"/>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row>
    <row r="60" spans="1:59" s="25" customFormat="1" ht="14.25">
      <c r="A60" s="19" t="s">
        <v>1395</v>
      </c>
      <c r="B60" s="24" t="s">
        <v>323</v>
      </c>
      <c r="C60" s="13" t="s">
        <v>29</v>
      </c>
      <c r="D60" s="10">
        <f>ROUND(D52/0.2*9,0)</f>
        <v>585</v>
      </c>
      <c r="E60" s="36"/>
      <c r="F60" s="4"/>
      <c r="G60" s="4"/>
      <c r="H60" s="4"/>
      <c r="I60" s="4"/>
      <c r="J60" s="337"/>
      <c r="K60" s="338"/>
      <c r="L60" s="338"/>
      <c r="M60" s="338"/>
      <c r="N60" s="338"/>
      <c r="O60" s="339"/>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row>
    <row r="61" spans="1:59" s="25" customFormat="1" ht="14.25">
      <c r="A61" s="19" t="s">
        <v>1396</v>
      </c>
      <c r="B61" s="2" t="s">
        <v>346</v>
      </c>
      <c r="C61" s="13" t="s">
        <v>39</v>
      </c>
      <c r="D61" s="161">
        <v>6.1600000000000002E-2</v>
      </c>
      <c r="E61" s="153"/>
      <c r="F61" s="4"/>
      <c r="G61" s="4"/>
      <c r="H61" s="4"/>
      <c r="I61" s="4"/>
      <c r="J61" s="337"/>
      <c r="K61" s="338"/>
      <c r="L61" s="338"/>
      <c r="M61" s="338"/>
      <c r="N61" s="338"/>
      <c r="O61" s="339"/>
    </row>
    <row r="62" spans="1:59" s="25" customFormat="1" ht="24">
      <c r="A62" s="106"/>
      <c r="B62" s="180" t="s">
        <v>919</v>
      </c>
      <c r="C62" s="13"/>
      <c r="D62" s="9"/>
      <c r="E62" s="33"/>
      <c r="F62" s="33"/>
      <c r="G62" s="4"/>
      <c r="H62" s="4"/>
      <c r="I62" s="4"/>
      <c r="J62" s="4"/>
      <c r="K62" s="4"/>
      <c r="L62" s="4"/>
      <c r="M62" s="4"/>
      <c r="N62" s="4"/>
      <c r="O62" s="20"/>
      <c r="P62" s="117"/>
    </row>
    <row r="63" spans="1:59">
      <c r="A63" s="106">
        <v>12</v>
      </c>
      <c r="B63" s="158" t="s">
        <v>342</v>
      </c>
      <c r="C63" s="116" t="s">
        <v>26</v>
      </c>
      <c r="D63" s="242">
        <v>4.2</v>
      </c>
      <c r="E63" s="33"/>
      <c r="F63" s="4"/>
      <c r="G63" s="4"/>
      <c r="H63" s="33"/>
      <c r="I63" s="4"/>
      <c r="J63" s="337"/>
      <c r="K63" s="338"/>
      <c r="L63" s="338"/>
      <c r="M63" s="338"/>
      <c r="N63" s="338"/>
      <c r="O63" s="339"/>
    </row>
    <row r="64" spans="1:59" s="25" customFormat="1" ht="14.25">
      <c r="A64" s="19" t="s">
        <v>1397</v>
      </c>
      <c r="B64" s="118" t="s">
        <v>340</v>
      </c>
      <c r="C64" s="226" t="s">
        <v>26</v>
      </c>
      <c r="D64" s="9">
        <f>ROUND(D63*1.08,2)</f>
        <v>4.54</v>
      </c>
      <c r="E64" s="33"/>
      <c r="F64" s="33"/>
      <c r="G64" s="33"/>
      <c r="H64" s="100"/>
      <c r="I64" s="33"/>
      <c r="J64" s="337"/>
      <c r="K64" s="338"/>
      <c r="L64" s="338"/>
      <c r="M64" s="338"/>
      <c r="N64" s="338"/>
      <c r="O64" s="339"/>
      <c r="P64" s="205"/>
    </row>
    <row r="65" spans="1:59" s="25" customFormat="1" ht="14.25">
      <c r="A65" s="19" t="s">
        <v>1398</v>
      </c>
      <c r="B65" s="24" t="s">
        <v>347</v>
      </c>
      <c r="C65" s="13" t="s">
        <v>30</v>
      </c>
      <c r="D65" s="10">
        <v>1</v>
      </c>
      <c r="E65" s="36"/>
      <c r="F65" s="4"/>
      <c r="G65" s="4"/>
      <c r="H65" s="129"/>
      <c r="I65" s="4"/>
      <c r="J65" s="337"/>
      <c r="K65" s="338"/>
      <c r="L65" s="338"/>
      <c r="M65" s="338"/>
      <c r="N65" s="338"/>
      <c r="O65" s="339"/>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row>
    <row r="66" spans="1:59" s="25" customFormat="1" ht="14.25">
      <c r="A66" s="19" t="s">
        <v>1399</v>
      </c>
      <c r="B66" s="24" t="s">
        <v>319</v>
      </c>
      <c r="C66" s="13" t="s">
        <v>30</v>
      </c>
      <c r="D66" s="10">
        <v>1</v>
      </c>
      <c r="E66" s="36"/>
      <c r="F66" s="4"/>
      <c r="G66" s="4"/>
      <c r="H66" s="4"/>
      <c r="I66" s="4"/>
      <c r="J66" s="337"/>
      <c r="K66" s="338"/>
      <c r="L66" s="338"/>
      <c r="M66" s="338"/>
      <c r="N66" s="338"/>
      <c r="O66" s="339"/>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row>
    <row r="67" spans="1:59" s="25" customFormat="1" ht="14.25">
      <c r="A67" s="19" t="s">
        <v>1434</v>
      </c>
      <c r="B67" s="118" t="s">
        <v>1135</v>
      </c>
      <c r="C67" s="116" t="s">
        <v>26</v>
      </c>
      <c r="D67" s="242">
        <f>D63</f>
        <v>4.2</v>
      </c>
      <c r="E67" s="33"/>
      <c r="F67" s="4"/>
      <c r="G67" s="4"/>
      <c r="H67" s="4"/>
      <c r="I67" s="4"/>
      <c r="J67" s="337"/>
      <c r="K67" s="338"/>
      <c r="L67" s="338"/>
      <c r="M67" s="338"/>
      <c r="N67" s="338"/>
      <c r="O67" s="339"/>
      <c r="P67" s="205"/>
    </row>
    <row r="68" spans="1:59" s="25" customFormat="1" ht="14.25">
      <c r="A68" s="106">
        <v>13</v>
      </c>
      <c r="B68" s="2" t="s">
        <v>344</v>
      </c>
      <c r="C68" s="226" t="s">
        <v>26</v>
      </c>
      <c r="D68" s="9">
        <v>9.5</v>
      </c>
      <c r="E68" s="9"/>
      <c r="F68" s="4"/>
      <c r="G68" s="4"/>
      <c r="H68" s="34"/>
      <c r="I68" s="4"/>
      <c r="J68" s="337"/>
      <c r="K68" s="338"/>
      <c r="L68" s="338"/>
      <c r="M68" s="338"/>
      <c r="N68" s="338"/>
      <c r="O68" s="339"/>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row>
    <row r="69" spans="1:59" s="25" customFormat="1" ht="14.25">
      <c r="A69" s="19" t="s">
        <v>1365</v>
      </c>
      <c r="B69" s="118" t="s">
        <v>210</v>
      </c>
      <c r="C69" s="226" t="s">
        <v>26</v>
      </c>
      <c r="D69" s="9">
        <f>ROUND(D68*1.02,2)</f>
        <v>9.69</v>
      </c>
      <c r="E69" s="4"/>
      <c r="F69" s="33"/>
      <c r="G69" s="33"/>
      <c r="H69" s="4"/>
      <c r="I69" s="33"/>
      <c r="J69" s="337"/>
      <c r="K69" s="338"/>
      <c r="L69" s="338"/>
      <c r="M69" s="338"/>
      <c r="N69" s="338"/>
      <c r="O69" s="339"/>
      <c r="P69" s="205"/>
    </row>
    <row r="70" spans="1:59" s="25" customFormat="1" ht="14.25">
      <c r="A70" s="19" t="s">
        <v>1366</v>
      </c>
      <c r="B70" s="21" t="s">
        <v>318</v>
      </c>
      <c r="C70" s="13" t="s">
        <v>30</v>
      </c>
      <c r="D70" s="10">
        <v>1</v>
      </c>
      <c r="E70" s="9"/>
      <c r="F70" s="33"/>
      <c r="G70" s="4"/>
      <c r="H70" s="129"/>
      <c r="I70" s="4"/>
      <c r="J70" s="337"/>
      <c r="K70" s="338"/>
      <c r="L70" s="338"/>
      <c r="M70" s="338"/>
      <c r="N70" s="338"/>
      <c r="O70" s="339"/>
    </row>
    <row r="71" spans="1:59" s="25" customFormat="1" ht="14.25">
      <c r="A71" s="19" t="s">
        <v>1400</v>
      </c>
      <c r="B71" s="21" t="s">
        <v>319</v>
      </c>
      <c r="C71" s="13" t="s">
        <v>30</v>
      </c>
      <c r="D71" s="10">
        <v>1</v>
      </c>
      <c r="E71" s="9"/>
      <c r="F71" s="33"/>
      <c r="G71" s="4"/>
      <c r="H71" s="4"/>
      <c r="I71" s="4"/>
      <c r="J71" s="337"/>
      <c r="K71" s="338"/>
      <c r="L71" s="338"/>
      <c r="M71" s="338"/>
      <c r="N71" s="338"/>
      <c r="O71" s="339"/>
    </row>
    <row r="72" spans="1:59" s="25" customFormat="1" ht="14.25">
      <c r="A72" s="19" t="s">
        <v>1401</v>
      </c>
      <c r="B72" s="118" t="s">
        <v>320</v>
      </c>
      <c r="C72" s="226" t="s">
        <v>321</v>
      </c>
      <c r="D72" s="140">
        <f>ROUND(D68/10,2)</f>
        <v>0.95</v>
      </c>
      <c r="E72" s="4"/>
      <c r="F72" s="33"/>
      <c r="G72" s="33"/>
      <c r="H72" s="4"/>
      <c r="I72" s="33"/>
      <c r="J72" s="337"/>
      <c r="K72" s="338"/>
      <c r="L72" s="338"/>
      <c r="M72" s="338"/>
      <c r="N72" s="338"/>
      <c r="O72" s="339"/>
      <c r="P72" s="205"/>
    </row>
    <row r="73" spans="1:59">
      <c r="A73" s="106">
        <v>14</v>
      </c>
      <c r="B73" s="158" t="s">
        <v>175</v>
      </c>
      <c r="C73" s="13" t="s">
        <v>39</v>
      </c>
      <c r="D73" s="289">
        <v>0.49130000000000001</v>
      </c>
      <c r="E73" s="33"/>
      <c r="F73" s="4"/>
      <c r="G73" s="4"/>
      <c r="H73" s="33"/>
      <c r="I73" s="4"/>
      <c r="J73" s="337"/>
      <c r="K73" s="338"/>
      <c r="L73" s="338"/>
      <c r="M73" s="338"/>
      <c r="N73" s="338"/>
      <c r="O73" s="339"/>
    </row>
    <row r="74" spans="1:59" s="25" customFormat="1" ht="14.25">
      <c r="A74" s="19" t="s">
        <v>1402</v>
      </c>
      <c r="B74" s="21" t="s">
        <v>322</v>
      </c>
      <c r="C74" s="13" t="s">
        <v>39</v>
      </c>
      <c r="D74" s="161">
        <f>ROUND(D73*1.1,4)</f>
        <v>0.54039999999999999</v>
      </c>
      <c r="E74" s="11"/>
      <c r="F74" s="33"/>
      <c r="G74" s="4"/>
      <c r="H74" s="11"/>
      <c r="I74" s="4"/>
      <c r="J74" s="337"/>
      <c r="K74" s="338"/>
      <c r="L74" s="338"/>
      <c r="M74" s="338"/>
      <c r="N74" s="338"/>
      <c r="O74" s="339"/>
    </row>
    <row r="75" spans="1:59" s="25" customFormat="1" ht="12" customHeight="1">
      <c r="A75" s="19" t="s">
        <v>1403</v>
      </c>
      <c r="B75" s="21" t="s">
        <v>178</v>
      </c>
      <c r="C75" s="13" t="s">
        <v>39</v>
      </c>
      <c r="D75" s="161">
        <f>ROUND(SUM(D74)*0.035,4)</f>
        <v>1.89E-2</v>
      </c>
      <c r="E75" s="9"/>
      <c r="F75" s="33"/>
      <c r="G75" s="4"/>
      <c r="H75" s="4"/>
      <c r="I75" s="4"/>
      <c r="J75" s="337"/>
      <c r="K75" s="338"/>
      <c r="L75" s="338"/>
      <c r="M75" s="338"/>
      <c r="N75" s="338"/>
      <c r="O75" s="339"/>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row>
    <row r="76" spans="1:59" s="25" customFormat="1" ht="14.25">
      <c r="A76" s="19" t="s">
        <v>1404</v>
      </c>
      <c r="B76" s="24" t="s">
        <v>323</v>
      </c>
      <c r="C76" s="13" t="s">
        <v>29</v>
      </c>
      <c r="D76" s="10">
        <f>ROUND(D68/0.2*9,0)</f>
        <v>428</v>
      </c>
      <c r="E76" s="36"/>
      <c r="F76" s="4"/>
      <c r="G76" s="4"/>
      <c r="H76" s="4"/>
      <c r="I76" s="4"/>
      <c r="J76" s="337"/>
      <c r="K76" s="338"/>
      <c r="L76" s="338"/>
      <c r="M76" s="338"/>
      <c r="N76" s="338"/>
      <c r="O76" s="339"/>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row>
    <row r="77" spans="1:59" s="25" customFormat="1" ht="14.25">
      <c r="A77" s="106"/>
      <c r="B77" s="180" t="s">
        <v>313</v>
      </c>
      <c r="C77" s="13"/>
      <c r="D77" s="9"/>
      <c r="E77" s="33"/>
      <c r="F77" s="33"/>
      <c r="G77" s="4"/>
      <c r="H77" s="4"/>
      <c r="I77" s="4"/>
      <c r="J77" s="4"/>
      <c r="K77" s="4"/>
      <c r="L77" s="4"/>
      <c r="M77" s="4"/>
      <c r="N77" s="4"/>
      <c r="O77" s="20"/>
      <c r="P77" s="117"/>
    </row>
    <row r="78" spans="1:59" s="25" customFormat="1" ht="14.25">
      <c r="A78" s="106"/>
      <c r="B78" s="180" t="s">
        <v>367</v>
      </c>
      <c r="C78" s="13"/>
      <c r="D78" s="9"/>
      <c r="E78" s="33"/>
      <c r="F78" s="33"/>
      <c r="G78" s="4"/>
      <c r="H78" s="4"/>
      <c r="I78" s="4"/>
      <c r="J78" s="4"/>
      <c r="K78" s="4"/>
      <c r="L78" s="4"/>
      <c r="M78" s="4"/>
      <c r="N78" s="4"/>
      <c r="O78" s="20"/>
      <c r="P78" s="117"/>
    </row>
    <row r="79" spans="1:59" s="25" customFormat="1" ht="14.25">
      <c r="A79" s="106">
        <v>15</v>
      </c>
      <c r="B79" s="2" t="s">
        <v>350</v>
      </c>
      <c r="C79" s="226" t="s">
        <v>26</v>
      </c>
      <c r="D79" s="9">
        <v>14.8</v>
      </c>
      <c r="E79" s="9"/>
      <c r="F79" s="4"/>
      <c r="G79" s="4"/>
      <c r="H79" s="34"/>
      <c r="I79" s="4"/>
      <c r="J79" s="337"/>
      <c r="K79" s="338"/>
      <c r="L79" s="338"/>
      <c r="M79" s="338"/>
      <c r="N79" s="338"/>
      <c r="O79" s="339"/>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row>
    <row r="80" spans="1:59" s="25" customFormat="1" ht="14.25">
      <c r="A80" s="19" t="s">
        <v>1368</v>
      </c>
      <c r="B80" s="118" t="s">
        <v>210</v>
      </c>
      <c r="C80" s="226" t="s">
        <v>26</v>
      </c>
      <c r="D80" s="9">
        <f>ROUND(D79*1.02,2)</f>
        <v>15.1</v>
      </c>
      <c r="E80" s="4"/>
      <c r="F80" s="33"/>
      <c r="G80" s="33"/>
      <c r="H80" s="4"/>
      <c r="I80" s="33"/>
      <c r="J80" s="337"/>
      <c r="K80" s="338"/>
      <c r="L80" s="338"/>
      <c r="M80" s="338"/>
      <c r="N80" s="338"/>
      <c r="O80" s="339"/>
      <c r="P80" s="205"/>
    </row>
    <row r="81" spans="1:59" s="25" customFormat="1" ht="14.25">
      <c r="A81" s="19" t="s">
        <v>1435</v>
      </c>
      <c r="B81" s="21" t="s">
        <v>318</v>
      </c>
      <c r="C81" s="13" t="s">
        <v>30</v>
      </c>
      <c r="D81" s="10">
        <v>1</v>
      </c>
      <c r="E81" s="9"/>
      <c r="F81" s="33"/>
      <c r="G81" s="4"/>
      <c r="H81" s="129"/>
      <c r="I81" s="4"/>
      <c r="J81" s="337"/>
      <c r="K81" s="338"/>
      <c r="L81" s="338"/>
      <c r="M81" s="338"/>
      <c r="N81" s="338"/>
      <c r="O81" s="339"/>
    </row>
    <row r="82" spans="1:59" s="25" customFormat="1" ht="14.25">
      <c r="A82" s="19" t="s">
        <v>1436</v>
      </c>
      <c r="B82" s="21" t="s">
        <v>319</v>
      </c>
      <c r="C82" s="13" t="s">
        <v>30</v>
      </c>
      <c r="D82" s="10">
        <v>1</v>
      </c>
      <c r="E82" s="9"/>
      <c r="F82" s="33"/>
      <c r="G82" s="4"/>
      <c r="H82" s="4"/>
      <c r="I82" s="4"/>
      <c r="J82" s="337"/>
      <c r="K82" s="338"/>
      <c r="L82" s="338"/>
      <c r="M82" s="338"/>
      <c r="N82" s="338"/>
      <c r="O82" s="339"/>
    </row>
    <row r="83" spans="1:59" s="25" customFormat="1" ht="14.25">
      <c r="A83" s="19" t="s">
        <v>1437</v>
      </c>
      <c r="B83" s="118" t="s">
        <v>320</v>
      </c>
      <c r="C83" s="226" t="s">
        <v>321</v>
      </c>
      <c r="D83" s="140">
        <f>ROUND(D79/10,2)</f>
        <v>1.48</v>
      </c>
      <c r="E83" s="4"/>
      <c r="F83" s="33"/>
      <c r="G83" s="33"/>
      <c r="H83" s="4"/>
      <c r="I83" s="33"/>
      <c r="J83" s="337"/>
      <c r="K83" s="338"/>
      <c r="L83" s="338"/>
      <c r="M83" s="338"/>
      <c r="N83" s="338"/>
      <c r="O83" s="339"/>
      <c r="P83" s="205"/>
    </row>
    <row r="84" spans="1:59">
      <c r="A84" s="106">
        <v>16</v>
      </c>
      <c r="B84" s="158" t="s">
        <v>351</v>
      </c>
      <c r="C84" s="13" t="s">
        <v>39</v>
      </c>
      <c r="D84" s="289">
        <v>1.9533</v>
      </c>
      <c r="E84" s="33"/>
      <c r="F84" s="4"/>
      <c r="G84" s="4"/>
      <c r="H84" s="33"/>
      <c r="I84" s="4"/>
      <c r="J84" s="337"/>
      <c r="K84" s="338"/>
      <c r="L84" s="338"/>
      <c r="M84" s="338"/>
      <c r="N84" s="338"/>
      <c r="O84" s="339"/>
    </row>
    <row r="85" spans="1:59" s="25" customFormat="1" ht="14.25">
      <c r="A85" s="19" t="s">
        <v>1405</v>
      </c>
      <c r="B85" s="21" t="s">
        <v>322</v>
      </c>
      <c r="C85" s="13" t="s">
        <v>39</v>
      </c>
      <c r="D85" s="161">
        <f>ROUND(D84*1.1,4)</f>
        <v>2.1486000000000001</v>
      </c>
      <c r="E85" s="11"/>
      <c r="F85" s="33"/>
      <c r="G85" s="4"/>
      <c r="H85" s="11"/>
      <c r="I85" s="4"/>
      <c r="J85" s="337"/>
      <c r="K85" s="338"/>
      <c r="L85" s="338"/>
      <c r="M85" s="338"/>
      <c r="N85" s="338"/>
      <c r="O85" s="339"/>
    </row>
    <row r="86" spans="1:59" s="25" customFormat="1" ht="12" customHeight="1">
      <c r="A86" s="19" t="s">
        <v>1438</v>
      </c>
      <c r="B86" s="21" t="s">
        <v>178</v>
      </c>
      <c r="C86" s="13" t="s">
        <v>39</v>
      </c>
      <c r="D86" s="161">
        <f>ROUND(SUM(D85)*0.035,4)</f>
        <v>7.5200000000000003E-2</v>
      </c>
      <c r="E86" s="9"/>
      <c r="F86" s="33"/>
      <c r="G86" s="4"/>
      <c r="H86" s="4"/>
      <c r="I86" s="4"/>
      <c r="J86" s="337"/>
      <c r="K86" s="338"/>
      <c r="L86" s="338"/>
      <c r="M86" s="338"/>
      <c r="N86" s="338"/>
      <c r="O86" s="339"/>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row>
    <row r="87" spans="1:59" s="25" customFormat="1" ht="14.25">
      <c r="A87" s="19" t="s">
        <v>1439</v>
      </c>
      <c r="B87" s="24" t="s">
        <v>323</v>
      </c>
      <c r="C87" s="13" t="s">
        <v>29</v>
      </c>
      <c r="D87" s="10">
        <f>ROUND(D79/0.2*9,0)</f>
        <v>666</v>
      </c>
      <c r="E87" s="36"/>
      <c r="F87" s="4"/>
      <c r="G87" s="4"/>
      <c r="H87" s="4"/>
      <c r="I87" s="4"/>
      <c r="J87" s="337"/>
      <c r="K87" s="338"/>
      <c r="L87" s="338"/>
      <c r="M87" s="338"/>
      <c r="N87" s="338"/>
      <c r="O87" s="339"/>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row>
    <row r="88" spans="1:59" s="25" customFormat="1" ht="14.25">
      <c r="A88" s="106"/>
      <c r="B88" s="180" t="s">
        <v>918</v>
      </c>
      <c r="C88" s="13"/>
      <c r="D88" s="9"/>
      <c r="E88" s="33"/>
      <c r="F88" s="33"/>
      <c r="G88" s="4"/>
      <c r="H88" s="4"/>
      <c r="I88" s="4"/>
      <c r="J88" s="4"/>
      <c r="K88" s="4"/>
      <c r="L88" s="4"/>
      <c r="M88" s="4"/>
      <c r="N88" s="4"/>
      <c r="O88" s="20"/>
      <c r="P88" s="117"/>
    </row>
    <row r="89" spans="1:59" s="25" customFormat="1" ht="14.25">
      <c r="A89" s="106">
        <v>17</v>
      </c>
      <c r="B89" s="2" t="s">
        <v>350</v>
      </c>
      <c r="C89" s="226" t="s">
        <v>26</v>
      </c>
      <c r="D89" s="9">
        <v>0.8</v>
      </c>
      <c r="E89" s="9"/>
      <c r="F89" s="4"/>
      <c r="G89" s="4"/>
      <c r="H89" s="34"/>
      <c r="I89" s="4"/>
      <c r="J89" s="337"/>
      <c r="K89" s="338"/>
      <c r="L89" s="338"/>
      <c r="M89" s="338"/>
      <c r="N89" s="338"/>
      <c r="O89" s="339"/>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row>
    <row r="90" spans="1:59" s="25" customFormat="1" ht="14.25">
      <c r="A90" s="19" t="s">
        <v>1364</v>
      </c>
      <c r="B90" s="118" t="s">
        <v>210</v>
      </c>
      <c r="C90" s="226" t="s">
        <v>26</v>
      </c>
      <c r="D90" s="9">
        <f>ROUND(D89*1.02,2)</f>
        <v>0.82</v>
      </c>
      <c r="E90" s="4"/>
      <c r="F90" s="33"/>
      <c r="G90" s="33"/>
      <c r="H90" s="4"/>
      <c r="I90" s="33"/>
      <c r="J90" s="337"/>
      <c r="K90" s="338"/>
      <c r="L90" s="338"/>
      <c r="M90" s="338"/>
      <c r="N90" s="338"/>
      <c r="O90" s="339"/>
      <c r="P90" s="205"/>
    </row>
    <row r="91" spans="1:59" s="25" customFormat="1" ht="14.25">
      <c r="A91" s="19" t="s">
        <v>1406</v>
      </c>
      <c r="B91" s="21" t="s">
        <v>318</v>
      </c>
      <c r="C91" s="13" t="s">
        <v>30</v>
      </c>
      <c r="D91" s="10">
        <v>1</v>
      </c>
      <c r="E91" s="9"/>
      <c r="F91" s="33"/>
      <c r="G91" s="4"/>
      <c r="H91" s="129"/>
      <c r="I91" s="4"/>
      <c r="J91" s="337"/>
      <c r="K91" s="338"/>
      <c r="L91" s="338"/>
      <c r="M91" s="338"/>
      <c r="N91" s="338"/>
      <c r="O91" s="339"/>
    </row>
    <row r="92" spans="1:59" s="25" customFormat="1" ht="14.25">
      <c r="A92" s="19" t="s">
        <v>1407</v>
      </c>
      <c r="B92" s="21" t="s">
        <v>319</v>
      </c>
      <c r="C92" s="13" t="s">
        <v>30</v>
      </c>
      <c r="D92" s="10">
        <v>1</v>
      </c>
      <c r="E92" s="9"/>
      <c r="F92" s="33"/>
      <c r="G92" s="4"/>
      <c r="H92" s="4"/>
      <c r="I92" s="4"/>
      <c r="J92" s="337"/>
      <c r="K92" s="338"/>
      <c r="L92" s="338"/>
      <c r="M92" s="338"/>
      <c r="N92" s="338"/>
      <c r="O92" s="339"/>
    </row>
    <row r="93" spans="1:59" s="25" customFormat="1" ht="14.25">
      <c r="A93" s="19" t="s">
        <v>1408</v>
      </c>
      <c r="B93" s="118" t="s">
        <v>320</v>
      </c>
      <c r="C93" s="226" t="s">
        <v>321</v>
      </c>
      <c r="D93" s="140">
        <f>ROUND(D89/10,2)</f>
        <v>0.08</v>
      </c>
      <c r="E93" s="4"/>
      <c r="F93" s="33"/>
      <c r="G93" s="33"/>
      <c r="H93" s="4"/>
      <c r="I93" s="33"/>
      <c r="J93" s="337"/>
      <c r="K93" s="338"/>
      <c r="L93" s="338"/>
      <c r="M93" s="338"/>
      <c r="N93" s="338"/>
      <c r="O93" s="339"/>
      <c r="P93" s="205"/>
    </row>
    <row r="94" spans="1:59">
      <c r="A94" s="106">
        <v>18</v>
      </c>
      <c r="B94" s="158" t="s">
        <v>351</v>
      </c>
      <c r="C94" s="13" t="s">
        <v>39</v>
      </c>
      <c r="D94" s="289">
        <v>0.1116</v>
      </c>
      <c r="E94" s="33"/>
      <c r="F94" s="4"/>
      <c r="G94" s="4"/>
      <c r="H94" s="33"/>
      <c r="I94" s="4"/>
      <c r="J94" s="337"/>
      <c r="K94" s="338"/>
      <c r="L94" s="338"/>
      <c r="M94" s="338"/>
      <c r="N94" s="338"/>
      <c r="O94" s="339"/>
    </row>
    <row r="95" spans="1:59" s="25" customFormat="1" ht="14.25">
      <c r="A95" s="19" t="s">
        <v>1409</v>
      </c>
      <c r="B95" s="21" t="s">
        <v>322</v>
      </c>
      <c r="C95" s="13" t="s">
        <v>39</v>
      </c>
      <c r="D95" s="161">
        <f>ROUND(D94*1.1,4)</f>
        <v>0.12280000000000001</v>
      </c>
      <c r="E95" s="11"/>
      <c r="F95" s="33"/>
      <c r="G95" s="4"/>
      <c r="H95" s="11"/>
      <c r="I95" s="4"/>
      <c r="J95" s="337"/>
      <c r="K95" s="338"/>
      <c r="L95" s="338"/>
      <c r="M95" s="338"/>
      <c r="N95" s="338"/>
      <c r="O95" s="339"/>
    </row>
    <row r="96" spans="1:59" s="25" customFormat="1" ht="12" customHeight="1">
      <c r="A96" s="19" t="s">
        <v>1410</v>
      </c>
      <c r="B96" s="21" t="s">
        <v>178</v>
      </c>
      <c r="C96" s="13" t="s">
        <v>39</v>
      </c>
      <c r="D96" s="161">
        <f>ROUND(SUM(D95)*0.035,4)</f>
        <v>4.3E-3</v>
      </c>
      <c r="E96" s="9"/>
      <c r="F96" s="33"/>
      <c r="G96" s="4"/>
      <c r="H96" s="4"/>
      <c r="I96" s="4"/>
      <c r="J96" s="337"/>
      <c r="K96" s="338"/>
      <c r="L96" s="338"/>
      <c r="M96" s="338"/>
      <c r="N96" s="338"/>
      <c r="O96" s="339"/>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row>
    <row r="97" spans="1:59" s="25" customFormat="1" ht="14.25">
      <c r="A97" s="19" t="s">
        <v>1411</v>
      </c>
      <c r="B97" s="24" t="s">
        <v>323</v>
      </c>
      <c r="C97" s="13" t="s">
        <v>29</v>
      </c>
      <c r="D97" s="10">
        <f>ROUND(D89/0.2*9,0)</f>
        <v>36</v>
      </c>
      <c r="E97" s="36"/>
      <c r="F97" s="4"/>
      <c r="G97" s="4"/>
      <c r="H97" s="4"/>
      <c r="I97" s="4"/>
      <c r="J97" s="337"/>
      <c r="K97" s="338"/>
      <c r="L97" s="338"/>
      <c r="M97" s="338"/>
      <c r="N97" s="338"/>
      <c r="O97" s="339"/>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row>
    <row r="98" spans="1:59" s="25" customFormat="1" ht="14.25">
      <c r="A98" s="106"/>
      <c r="B98" s="180" t="s">
        <v>354</v>
      </c>
      <c r="C98" s="13"/>
      <c r="D98" s="9"/>
      <c r="E98" s="33"/>
      <c r="F98" s="33"/>
      <c r="G98" s="4"/>
      <c r="H98" s="4"/>
      <c r="I98" s="4"/>
      <c r="J98" s="4"/>
      <c r="K98" s="4"/>
      <c r="L98" s="4"/>
      <c r="M98" s="4"/>
      <c r="N98" s="4"/>
      <c r="O98" s="20"/>
      <c r="P98" s="117"/>
    </row>
    <row r="99" spans="1:59">
      <c r="A99" s="106">
        <v>19</v>
      </c>
      <c r="B99" s="174" t="s">
        <v>352</v>
      </c>
      <c r="C99" s="116" t="s">
        <v>26</v>
      </c>
      <c r="D99" s="242">
        <v>10.1</v>
      </c>
      <c r="E99" s="33"/>
      <c r="F99" s="4"/>
      <c r="G99" s="4"/>
      <c r="H99" s="33"/>
      <c r="I99" s="4"/>
      <c r="J99" s="337"/>
      <c r="K99" s="338"/>
      <c r="L99" s="338"/>
      <c r="M99" s="338"/>
      <c r="N99" s="338"/>
      <c r="O99" s="339"/>
    </row>
    <row r="100" spans="1:59" s="25" customFormat="1" ht="14.25">
      <c r="A100" s="19" t="s">
        <v>1414</v>
      </c>
      <c r="B100" s="118" t="s">
        <v>338</v>
      </c>
      <c r="C100" s="226" t="s">
        <v>26</v>
      </c>
      <c r="D100" s="9">
        <f>ROUND(D99*1.02,2)</f>
        <v>10.3</v>
      </c>
      <c r="E100" s="33"/>
      <c r="F100" s="33"/>
      <c r="G100" s="33"/>
      <c r="H100" s="4"/>
      <c r="I100" s="33"/>
      <c r="J100" s="337"/>
      <c r="K100" s="338"/>
      <c r="L100" s="338"/>
      <c r="M100" s="338"/>
      <c r="N100" s="338"/>
      <c r="O100" s="339"/>
      <c r="P100" s="205"/>
    </row>
    <row r="101" spans="1:59" s="25" customFormat="1" ht="14.25">
      <c r="A101" s="19" t="s">
        <v>1415</v>
      </c>
      <c r="B101" s="24" t="s">
        <v>341</v>
      </c>
      <c r="C101" s="13" t="s">
        <v>30</v>
      </c>
      <c r="D101" s="10">
        <v>1</v>
      </c>
      <c r="E101" s="36"/>
      <c r="F101" s="4"/>
      <c r="G101" s="4"/>
      <c r="H101" s="129"/>
      <c r="I101" s="4"/>
      <c r="J101" s="337"/>
      <c r="K101" s="338"/>
      <c r="L101" s="338"/>
      <c r="M101" s="338"/>
      <c r="N101" s="338"/>
      <c r="O101" s="339"/>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row>
    <row r="102" spans="1:59" s="25" customFormat="1" ht="14.25">
      <c r="A102" s="19" t="s">
        <v>1416</v>
      </c>
      <c r="B102" s="24" t="s">
        <v>319</v>
      </c>
      <c r="C102" s="13" t="s">
        <v>30</v>
      </c>
      <c r="D102" s="10">
        <v>1</v>
      </c>
      <c r="E102" s="36"/>
      <c r="F102" s="4"/>
      <c r="G102" s="4"/>
      <c r="H102" s="4"/>
      <c r="I102" s="4"/>
      <c r="J102" s="337"/>
      <c r="K102" s="338"/>
      <c r="L102" s="338"/>
      <c r="M102" s="338"/>
      <c r="N102" s="338"/>
      <c r="O102" s="339"/>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row>
    <row r="103" spans="1:59" s="25" customFormat="1" ht="14.25">
      <c r="A103" s="19" t="s">
        <v>1440</v>
      </c>
      <c r="B103" s="118" t="s">
        <v>320</v>
      </c>
      <c r="C103" s="226" t="s">
        <v>321</v>
      </c>
      <c r="D103" s="9">
        <f>ROUND(D99/15,2)</f>
        <v>0.67</v>
      </c>
      <c r="E103" s="33"/>
      <c r="F103" s="33"/>
      <c r="G103" s="33"/>
      <c r="H103" s="4"/>
      <c r="I103" s="33"/>
      <c r="J103" s="337"/>
      <c r="K103" s="338"/>
      <c r="L103" s="338"/>
      <c r="M103" s="338"/>
      <c r="N103" s="338"/>
      <c r="O103" s="339"/>
      <c r="P103" s="205"/>
    </row>
    <row r="104" spans="1:59">
      <c r="A104" s="106">
        <v>20</v>
      </c>
      <c r="B104" s="174" t="s">
        <v>353</v>
      </c>
      <c r="C104" s="13" t="s">
        <v>39</v>
      </c>
      <c r="D104" s="289">
        <v>0.2</v>
      </c>
      <c r="E104" s="33"/>
      <c r="F104" s="4"/>
      <c r="G104" s="4"/>
      <c r="H104" s="33"/>
      <c r="I104" s="4"/>
      <c r="J104" s="337"/>
      <c r="K104" s="338"/>
      <c r="L104" s="338"/>
      <c r="M104" s="338"/>
      <c r="N104" s="338"/>
      <c r="O104" s="339"/>
    </row>
    <row r="105" spans="1:59" s="25" customFormat="1" ht="14.25">
      <c r="A105" s="19" t="s">
        <v>1417</v>
      </c>
      <c r="B105" s="21" t="s">
        <v>322</v>
      </c>
      <c r="C105" s="13" t="s">
        <v>39</v>
      </c>
      <c r="D105" s="161">
        <f>ROUND(D104*1.1,4)</f>
        <v>0.22</v>
      </c>
      <c r="E105" s="11"/>
      <c r="F105" s="33"/>
      <c r="G105" s="4"/>
      <c r="H105" s="11"/>
      <c r="I105" s="4"/>
      <c r="J105" s="337"/>
      <c r="K105" s="338"/>
      <c r="L105" s="338"/>
      <c r="M105" s="338"/>
      <c r="N105" s="338"/>
      <c r="O105" s="339"/>
    </row>
    <row r="106" spans="1:59" s="25" customFormat="1" ht="12" customHeight="1">
      <c r="A106" s="19" t="s">
        <v>1441</v>
      </c>
      <c r="B106" s="21" t="s">
        <v>178</v>
      </c>
      <c r="C106" s="13" t="s">
        <v>39</v>
      </c>
      <c r="D106" s="161">
        <f>ROUND(SUM(D105)*0.035,4)</f>
        <v>7.7000000000000002E-3</v>
      </c>
      <c r="E106" s="9"/>
      <c r="F106" s="33"/>
      <c r="G106" s="4"/>
      <c r="H106" s="4"/>
      <c r="I106" s="4"/>
      <c r="J106" s="337"/>
      <c r="K106" s="338"/>
      <c r="L106" s="338"/>
      <c r="M106" s="338"/>
      <c r="N106" s="338"/>
      <c r="O106" s="339"/>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row>
    <row r="107" spans="1:59" s="25" customFormat="1" ht="14.25">
      <c r="A107" s="19" t="s">
        <v>1442</v>
      </c>
      <c r="B107" s="24" t="s">
        <v>323</v>
      </c>
      <c r="C107" s="13" t="s">
        <v>29</v>
      </c>
      <c r="D107" s="10">
        <f>ROUND(D99/0.8*9,0)</f>
        <v>114</v>
      </c>
      <c r="E107" s="36"/>
      <c r="F107" s="4"/>
      <c r="G107" s="4"/>
      <c r="H107" s="4"/>
      <c r="I107" s="4"/>
      <c r="J107" s="337"/>
      <c r="K107" s="338"/>
      <c r="L107" s="338"/>
      <c r="M107" s="338"/>
      <c r="N107" s="338"/>
      <c r="O107" s="339"/>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row>
    <row r="108" spans="1:59" s="25" customFormat="1" ht="14.25">
      <c r="A108" s="106"/>
      <c r="B108" s="180" t="s">
        <v>392</v>
      </c>
      <c r="C108" s="13"/>
      <c r="D108" s="9"/>
      <c r="E108" s="33"/>
      <c r="F108" s="33"/>
      <c r="G108" s="4"/>
      <c r="H108" s="4"/>
      <c r="I108" s="4"/>
      <c r="J108" s="4"/>
      <c r="K108" s="4"/>
      <c r="L108" s="4"/>
      <c r="M108" s="4"/>
      <c r="N108" s="4"/>
      <c r="O108" s="20"/>
      <c r="P108" s="117"/>
    </row>
    <row r="109" spans="1:59" s="25" customFormat="1" ht="14.25">
      <c r="A109" s="106"/>
      <c r="B109" s="180" t="s">
        <v>393</v>
      </c>
      <c r="C109" s="13"/>
      <c r="D109" s="9"/>
      <c r="E109" s="33"/>
      <c r="F109" s="33"/>
      <c r="G109" s="4"/>
      <c r="H109" s="4"/>
      <c r="I109" s="4"/>
      <c r="J109" s="4"/>
      <c r="K109" s="4"/>
      <c r="L109" s="4"/>
      <c r="M109" s="4"/>
      <c r="N109" s="4"/>
      <c r="O109" s="20"/>
      <c r="P109" s="117"/>
    </row>
    <row r="110" spans="1:59" s="25" customFormat="1" ht="14.25">
      <c r="A110" s="106">
        <v>21</v>
      </c>
      <c r="B110" s="49" t="s">
        <v>290</v>
      </c>
      <c r="C110" s="13" t="s">
        <v>14</v>
      </c>
      <c r="D110" s="9">
        <v>540</v>
      </c>
      <c r="E110" s="33"/>
      <c r="F110" s="40"/>
      <c r="G110" s="4"/>
      <c r="H110" s="34"/>
      <c r="I110" s="4"/>
      <c r="J110" s="337"/>
      <c r="K110" s="338"/>
      <c r="L110" s="338"/>
      <c r="M110" s="338"/>
      <c r="N110" s="338"/>
      <c r="O110" s="339"/>
    </row>
    <row r="111" spans="1:59" s="25" customFormat="1" ht="14.25">
      <c r="A111" s="19" t="s">
        <v>1418</v>
      </c>
      <c r="B111" s="24" t="s">
        <v>291</v>
      </c>
      <c r="C111" s="99" t="s">
        <v>14</v>
      </c>
      <c r="D111" s="100">
        <f>ROUND(D110*1.15,2)</f>
        <v>621</v>
      </c>
      <c r="E111" s="4"/>
      <c r="F111" s="4"/>
      <c r="G111" s="4"/>
      <c r="H111" s="4"/>
      <c r="I111" s="4"/>
      <c r="J111" s="337"/>
      <c r="K111" s="338"/>
      <c r="L111" s="338"/>
      <c r="M111" s="338"/>
      <c r="N111" s="338"/>
      <c r="O111" s="339"/>
    </row>
    <row r="112" spans="1:59">
      <c r="A112" s="106">
        <v>22</v>
      </c>
      <c r="B112" s="158" t="s">
        <v>342</v>
      </c>
      <c r="C112" s="116" t="s">
        <v>26</v>
      </c>
      <c r="D112" s="242">
        <v>28.4</v>
      </c>
      <c r="E112" s="33"/>
      <c r="F112" s="4"/>
      <c r="G112" s="4"/>
      <c r="H112" s="33"/>
      <c r="I112" s="4"/>
      <c r="J112" s="337"/>
      <c r="K112" s="338"/>
      <c r="L112" s="338"/>
      <c r="M112" s="338"/>
      <c r="N112" s="338"/>
      <c r="O112" s="339"/>
    </row>
    <row r="113" spans="1:59" s="25" customFormat="1" ht="14.25">
      <c r="A113" s="19" t="s">
        <v>1443</v>
      </c>
      <c r="B113" s="118" t="s">
        <v>340</v>
      </c>
      <c r="C113" s="226" t="s">
        <v>26</v>
      </c>
      <c r="D113" s="9">
        <f>ROUND(D112*1.08,2)</f>
        <v>30.67</v>
      </c>
      <c r="E113" s="33"/>
      <c r="F113" s="33"/>
      <c r="G113" s="33"/>
      <c r="H113" s="100"/>
      <c r="I113" s="33"/>
      <c r="J113" s="337"/>
      <c r="K113" s="338"/>
      <c r="L113" s="338"/>
      <c r="M113" s="338"/>
      <c r="N113" s="338"/>
      <c r="O113" s="339"/>
      <c r="P113" s="205"/>
    </row>
    <row r="114" spans="1:59" s="25" customFormat="1" ht="14.25">
      <c r="A114" s="19" t="s">
        <v>1444</v>
      </c>
      <c r="B114" s="24" t="s">
        <v>347</v>
      </c>
      <c r="C114" s="13" t="s">
        <v>30</v>
      </c>
      <c r="D114" s="10">
        <v>1</v>
      </c>
      <c r="E114" s="36"/>
      <c r="F114" s="4"/>
      <c r="G114" s="4"/>
      <c r="H114" s="129"/>
      <c r="I114" s="4"/>
      <c r="J114" s="337"/>
      <c r="K114" s="338"/>
      <c r="L114" s="338"/>
      <c r="M114" s="338"/>
      <c r="N114" s="338"/>
      <c r="O114" s="339"/>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row>
    <row r="115" spans="1:59" s="25" customFormat="1" ht="14.25">
      <c r="A115" s="19" t="s">
        <v>1445</v>
      </c>
      <c r="B115" s="24" t="s">
        <v>319</v>
      </c>
      <c r="C115" s="13" t="s">
        <v>30</v>
      </c>
      <c r="D115" s="10">
        <v>1</v>
      </c>
      <c r="E115" s="36"/>
      <c r="F115" s="4"/>
      <c r="G115" s="4"/>
      <c r="H115" s="4"/>
      <c r="I115" s="4"/>
      <c r="J115" s="337"/>
      <c r="K115" s="338"/>
      <c r="L115" s="338"/>
      <c r="M115" s="338"/>
      <c r="N115" s="338"/>
      <c r="O115" s="339"/>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row>
    <row r="116" spans="1:59" s="25" customFormat="1" ht="14.25">
      <c r="A116" s="19" t="s">
        <v>1446</v>
      </c>
      <c r="B116" s="118" t="s">
        <v>1135</v>
      </c>
      <c r="C116" s="116" t="s">
        <v>26</v>
      </c>
      <c r="D116" s="242">
        <f>D112</f>
        <v>28.4</v>
      </c>
      <c r="E116" s="33"/>
      <c r="F116" s="4"/>
      <c r="G116" s="4"/>
      <c r="H116" s="4"/>
      <c r="I116" s="4"/>
      <c r="J116" s="337"/>
      <c r="K116" s="338"/>
      <c r="L116" s="338"/>
      <c r="M116" s="338"/>
      <c r="N116" s="338"/>
      <c r="O116" s="339"/>
      <c r="P116" s="205"/>
    </row>
    <row r="117" spans="1:59">
      <c r="A117" s="106">
        <v>23</v>
      </c>
      <c r="B117" s="174" t="s">
        <v>356</v>
      </c>
      <c r="C117" s="116" t="s">
        <v>26</v>
      </c>
      <c r="D117" s="242">
        <v>141.80000000000001</v>
      </c>
      <c r="E117" s="33"/>
      <c r="F117" s="4"/>
      <c r="G117" s="4"/>
      <c r="H117" s="33"/>
      <c r="I117" s="4"/>
      <c r="J117" s="337"/>
      <c r="K117" s="338"/>
      <c r="L117" s="338"/>
      <c r="M117" s="338"/>
      <c r="N117" s="338"/>
      <c r="O117" s="339"/>
    </row>
    <row r="118" spans="1:59" s="25" customFormat="1" ht="14.25">
      <c r="A118" s="19" t="s">
        <v>1447</v>
      </c>
      <c r="B118" s="118" t="s">
        <v>210</v>
      </c>
      <c r="C118" s="226" t="s">
        <v>26</v>
      </c>
      <c r="D118" s="9">
        <f>ROUND(D117*1.02,2)</f>
        <v>144.63999999999999</v>
      </c>
      <c r="E118" s="33"/>
      <c r="F118" s="33"/>
      <c r="G118" s="33"/>
      <c r="H118" s="4"/>
      <c r="I118" s="33"/>
      <c r="J118" s="337"/>
      <c r="K118" s="338"/>
      <c r="L118" s="338"/>
      <c r="M118" s="338"/>
      <c r="N118" s="338"/>
      <c r="O118" s="339"/>
      <c r="P118" s="205"/>
    </row>
    <row r="119" spans="1:59" s="25" customFormat="1" ht="14.25">
      <c r="A119" s="19" t="s">
        <v>1448</v>
      </c>
      <c r="B119" s="24" t="s">
        <v>341</v>
      </c>
      <c r="C119" s="13" t="s">
        <v>30</v>
      </c>
      <c r="D119" s="10">
        <v>1</v>
      </c>
      <c r="E119" s="36"/>
      <c r="F119" s="4"/>
      <c r="G119" s="4"/>
      <c r="H119" s="129"/>
      <c r="I119" s="4"/>
      <c r="J119" s="337"/>
      <c r="K119" s="338"/>
      <c r="L119" s="338"/>
      <c r="M119" s="338"/>
      <c r="N119" s="338"/>
      <c r="O119" s="339"/>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row>
    <row r="120" spans="1:59" s="25" customFormat="1" ht="14.25">
      <c r="A120" s="19" t="s">
        <v>1449</v>
      </c>
      <c r="B120" s="24" t="s">
        <v>79</v>
      </c>
      <c r="C120" s="13" t="s">
        <v>42</v>
      </c>
      <c r="D120" s="9">
        <f>D110*0.33</f>
        <v>178.20000000000002</v>
      </c>
      <c r="E120" s="33"/>
      <c r="F120" s="33"/>
      <c r="G120" s="4"/>
      <c r="H120" s="4"/>
      <c r="I120" s="4"/>
      <c r="J120" s="337"/>
      <c r="K120" s="338"/>
      <c r="L120" s="338"/>
      <c r="M120" s="338"/>
      <c r="N120" s="338"/>
      <c r="O120" s="339"/>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7"/>
      <c r="BA120" s="207"/>
      <c r="BB120" s="207"/>
      <c r="BC120" s="207"/>
      <c r="BD120" s="207"/>
      <c r="BE120" s="207"/>
      <c r="BF120" s="207"/>
      <c r="BG120" s="207"/>
    </row>
    <row r="121" spans="1:59" s="25" customFormat="1" ht="14.25">
      <c r="A121" s="19" t="s">
        <v>1450</v>
      </c>
      <c r="B121" s="24" t="s">
        <v>319</v>
      </c>
      <c r="C121" s="13" t="s">
        <v>30</v>
      </c>
      <c r="D121" s="10">
        <v>1</v>
      </c>
      <c r="E121" s="36"/>
      <c r="F121" s="4"/>
      <c r="G121" s="4"/>
      <c r="H121" s="4"/>
      <c r="I121" s="4"/>
      <c r="J121" s="337"/>
      <c r="K121" s="338"/>
      <c r="L121" s="338"/>
      <c r="M121" s="338"/>
      <c r="N121" s="338"/>
      <c r="O121" s="339"/>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row>
    <row r="122" spans="1:59" s="25" customFormat="1" ht="14.25">
      <c r="A122" s="19" t="s">
        <v>1451</v>
      </c>
      <c r="B122" s="118" t="s">
        <v>320</v>
      </c>
      <c r="C122" s="226" t="s">
        <v>321</v>
      </c>
      <c r="D122" s="9">
        <f>D117/15</f>
        <v>9.4533333333333349</v>
      </c>
      <c r="E122" s="33"/>
      <c r="F122" s="33"/>
      <c r="G122" s="33"/>
      <c r="H122" s="4"/>
      <c r="I122" s="33"/>
      <c r="J122" s="337"/>
      <c r="K122" s="338"/>
      <c r="L122" s="338"/>
      <c r="M122" s="338"/>
      <c r="N122" s="338"/>
      <c r="O122" s="339"/>
      <c r="P122" s="205"/>
    </row>
    <row r="123" spans="1:59">
      <c r="A123" s="106">
        <v>24</v>
      </c>
      <c r="B123" s="174" t="s">
        <v>357</v>
      </c>
      <c r="C123" s="13" t="s">
        <v>39</v>
      </c>
      <c r="D123" s="289">
        <v>9.8036999999999992</v>
      </c>
      <c r="E123" s="33"/>
      <c r="F123" s="4"/>
      <c r="G123" s="4"/>
      <c r="H123" s="33"/>
      <c r="I123" s="4"/>
      <c r="J123" s="337"/>
      <c r="K123" s="338"/>
      <c r="L123" s="338"/>
      <c r="M123" s="338"/>
      <c r="N123" s="338"/>
      <c r="O123" s="339"/>
    </row>
    <row r="124" spans="1:59" s="25" customFormat="1" ht="14.25">
      <c r="A124" s="19" t="s">
        <v>1452</v>
      </c>
      <c r="B124" s="21" t="s">
        <v>322</v>
      </c>
      <c r="C124" s="13" t="s">
        <v>39</v>
      </c>
      <c r="D124" s="161">
        <f>ROUND(D123*1.1,4)</f>
        <v>10.7841</v>
      </c>
      <c r="E124" s="11"/>
      <c r="F124" s="33"/>
      <c r="G124" s="4"/>
      <c r="H124" s="11"/>
      <c r="I124" s="4"/>
      <c r="J124" s="337"/>
      <c r="K124" s="338"/>
      <c r="L124" s="338"/>
      <c r="M124" s="338"/>
      <c r="N124" s="338"/>
      <c r="O124" s="339"/>
    </row>
    <row r="125" spans="1:59" s="25" customFormat="1" ht="12" customHeight="1">
      <c r="A125" s="19" t="s">
        <v>1453</v>
      </c>
      <c r="B125" s="21" t="s">
        <v>178</v>
      </c>
      <c r="C125" s="13" t="s">
        <v>39</v>
      </c>
      <c r="D125" s="161">
        <f>ROUND(SUM(D124)*0.035,4)</f>
        <v>0.37740000000000001</v>
      </c>
      <c r="E125" s="9"/>
      <c r="F125" s="33"/>
      <c r="G125" s="4"/>
      <c r="H125" s="4"/>
      <c r="I125" s="4"/>
      <c r="J125" s="337"/>
      <c r="K125" s="338"/>
      <c r="L125" s="338"/>
      <c r="M125" s="338"/>
      <c r="N125" s="338"/>
      <c r="O125" s="339"/>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row>
    <row r="126" spans="1:59" s="25" customFormat="1" ht="14.25">
      <c r="A126" s="19" t="s">
        <v>1454</v>
      </c>
      <c r="B126" s="24" t="s">
        <v>323</v>
      </c>
      <c r="C126" s="13" t="s">
        <v>29</v>
      </c>
      <c r="D126" s="10">
        <f>ROUND(D117/0.8*9,0)</f>
        <v>1595</v>
      </c>
      <c r="E126" s="36"/>
      <c r="F126" s="4"/>
      <c r="G126" s="4"/>
      <c r="H126" s="4"/>
      <c r="I126" s="4"/>
      <c r="J126" s="337"/>
      <c r="K126" s="338"/>
      <c r="L126" s="338"/>
      <c r="M126" s="338"/>
      <c r="N126" s="338"/>
      <c r="O126" s="339"/>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row>
    <row r="127" spans="1:59" s="25" customFormat="1" ht="14.25">
      <c r="A127" s="106">
        <v>25</v>
      </c>
      <c r="B127" s="49" t="s">
        <v>78</v>
      </c>
      <c r="C127" s="13" t="s">
        <v>42</v>
      </c>
      <c r="D127" s="9">
        <f>D120</f>
        <v>178.20000000000002</v>
      </c>
      <c r="E127" s="33"/>
      <c r="F127" s="40"/>
      <c r="G127" s="4"/>
      <c r="H127" s="4"/>
      <c r="I127" s="4"/>
      <c r="J127" s="337"/>
      <c r="K127" s="338"/>
      <c r="L127" s="338"/>
      <c r="M127" s="338"/>
      <c r="N127" s="338"/>
      <c r="O127" s="339"/>
    </row>
    <row r="128" spans="1:59" s="25" customFormat="1" ht="14.25">
      <c r="A128" s="19" t="s">
        <v>1455</v>
      </c>
      <c r="B128" s="118" t="s">
        <v>128</v>
      </c>
      <c r="C128" s="116" t="s">
        <v>40</v>
      </c>
      <c r="D128" s="120">
        <f>ROUND(D127*0.075,2)</f>
        <v>13.37</v>
      </c>
      <c r="E128" s="4"/>
      <c r="F128" s="123"/>
      <c r="G128" s="112"/>
      <c r="H128" s="4"/>
      <c r="I128" s="112"/>
      <c r="J128" s="337"/>
      <c r="K128" s="338"/>
      <c r="L128" s="338"/>
      <c r="M128" s="338"/>
      <c r="N128" s="338"/>
      <c r="O128" s="339"/>
    </row>
    <row r="129" spans="1:59" s="124" customFormat="1" ht="12" customHeight="1">
      <c r="A129" s="106">
        <v>26</v>
      </c>
      <c r="B129" s="223" t="s">
        <v>179</v>
      </c>
      <c r="C129" s="139" t="s">
        <v>14</v>
      </c>
      <c r="D129" s="9">
        <f>D110</f>
        <v>540</v>
      </c>
      <c r="E129" s="4"/>
      <c r="F129" s="40"/>
      <c r="G129" s="4"/>
      <c r="H129" s="4"/>
      <c r="I129" s="112"/>
      <c r="J129" s="337"/>
      <c r="K129" s="338"/>
      <c r="L129" s="338"/>
      <c r="M129" s="338"/>
      <c r="N129" s="338"/>
      <c r="O129" s="339"/>
      <c r="P129" s="162"/>
      <c r="Q129" s="163"/>
      <c r="R129" s="125"/>
      <c r="S129" s="125"/>
      <c r="T129" s="126"/>
      <c r="U129" s="126"/>
      <c r="V129" s="126"/>
      <c r="W129" s="126"/>
      <c r="X129" s="126"/>
      <c r="Y129" s="126"/>
    </row>
    <row r="130" spans="1:59" s="124" customFormat="1" ht="24">
      <c r="A130" s="19" t="s">
        <v>1456</v>
      </c>
      <c r="B130" s="118" t="s">
        <v>127</v>
      </c>
      <c r="C130" s="116" t="s">
        <v>38</v>
      </c>
      <c r="D130" s="122">
        <f>ROUND(D129*4,1)</f>
        <v>2160</v>
      </c>
      <c r="E130" s="4"/>
      <c r="F130" s="123"/>
      <c r="G130" s="112"/>
      <c r="H130" s="4"/>
      <c r="I130" s="112"/>
      <c r="J130" s="337"/>
      <c r="K130" s="338"/>
      <c r="L130" s="338"/>
      <c r="M130" s="338"/>
      <c r="N130" s="338"/>
      <c r="O130" s="339"/>
      <c r="P130" s="162"/>
      <c r="Q130" s="163"/>
      <c r="R130" s="125"/>
      <c r="S130" s="125"/>
      <c r="T130" s="126"/>
      <c r="U130" s="126"/>
      <c r="V130" s="126"/>
      <c r="W130" s="126"/>
      <c r="X130" s="126"/>
      <c r="Y130" s="126"/>
    </row>
    <row r="131" spans="1:59" s="25" customFormat="1" ht="14.25">
      <c r="A131" s="106"/>
      <c r="B131" s="180" t="s">
        <v>394</v>
      </c>
      <c r="C131" s="13"/>
      <c r="D131" s="9"/>
      <c r="E131" s="33"/>
      <c r="F131" s="33"/>
      <c r="G131" s="4"/>
      <c r="H131" s="4"/>
      <c r="I131" s="4"/>
      <c r="J131" s="4"/>
      <c r="K131" s="4"/>
      <c r="L131" s="4"/>
      <c r="M131" s="4"/>
      <c r="N131" s="4"/>
      <c r="O131" s="20"/>
      <c r="P131" s="117"/>
    </row>
    <row r="132" spans="1:59" s="25" customFormat="1" ht="14.25">
      <c r="A132" s="106">
        <v>27</v>
      </c>
      <c r="B132" s="49" t="s">
        <v>290</v>
      </c>
      <c r="C132" s="13" t="s">
        <v>14</v>
      </c>
      <c r="D132" s="9">
        <v>1080</v>
      </c>
      <c r="E132" s="33"/>
      <c r="F132" s="40"/>
      <c r="G132" s="4"/>
      <c r="H132" s="34"/>
      <c r="I132" s="4"/>
      <c r="J132" s="337"/>
      <c r="K132" s="338"/>
      <c r="L132" s="338"/>
      <c r="M132" s="338"/>
      <c r="N132" s="338"/>
      <c r="O132" s="339"/>
    </row>
    <row r="133" spans="1:59" s="25" customFormat="1" ht="14.25">
      <c r="A133" s="19" t="s">
        <v>1457</v>
      </c>
      <c r="B133" s="24" t="s">
        <v>291</v>
      </c>
      <c r="C133" s="99" t="s">
        <v>14</v>
      </c>
      <c r="D133" s="100">
        <f>ROUND(D132*1.15,2)</f>
        <v>1242</v>
      </c>
      <c r="E133" s="4"/>
      <c r="F133" s="4"/>
      <c r="G133" s="4"/>
      <c r="H133" s="4"/>
      <c r="I133" s="4"/>
      <c r="J133" s="337"/>
      <c r="K133" s="338"/>
      <c r="L133" s="338"/>
      <c r="M133" s="338"/>
      <c r="N133" s="338"/>
      <c r="O133" s="339"/>
    </row>
    <row r="134" spans="1:59">
      <c r="A134" s="106">
        <v>28</v>
      </c>
      <c r="B134" s="158" t="s">
        <v>342</v>
      </c>
      <c r="C134" s="116" t="s">
        <v>26</v>
      </c>
      <c r="D134" s="242">
        <v>56.7</v>
      </c>
      <c r="E134" s="33"/>
      <c r="F134" s="4"/>
      <c r="G134" s="4"/>
      <c r="H134" s="33"/>
      <c r="I134" s="4"/>
      <c r="J134" s="337"/>
      <c r="K134" s="338"/>
      <c r="L134" s="338"/>
      <c r="M134" s="338"/>
      <c r="N134" s="338"/>
      <c r="O134" s="339"/>
    </row>
    <row r="135" spans="1:59" s="25" customFormat="1" ht="14.25">
      <c r="A135" s="19" t="s">
        <v>1458</v>
      </c>
      <c r="B135" s="118" t="s">
        <v>340</v>
      </c>
      <c r="C135" s="226" t="s">
        <v>26</v>
      </c>
      <c r="D135" s="9">
        <f>ROUND(D134*1.08,2)</f>
        <v>61.24</v>
      </c>
      <c r="E135" s="33"/>
      <c r="F135" s="33"/>
      <c r="G135" s="33"/>
      <c r="H135" s="100"/>
      <c r="I135" s="33"/>
      <c r="J135" s="337"/>
      <c r="K135" s="338"/>
      <c r="L135" s="338"/>
      <c r="M135" s="338"/>
      <c r="N135" s="338"/>
      <c r="O135" s="339"/>
      <c r="P135" s="205"/>
    </row>
    <row r="136" spans="1:59" s="25" customFormat="1" ht="14.25">
      <c r="A136" s="19" t="s">
        <v>1459</v>
      </c>
      <c r="B136" s="24" t="s">
        <v>347</v>
      </c>
      <c r="C136" s="13" t="s">
        <v>30</v>
      </c>
      <c r="D136" s="10">
        <v>1</v>
      </c>
      <c r="E136" s="36"/>
      <c r="F136" s="4"/>
      <c r="G136" s="4"/>
      <c r="H136" s="129"/>
      <c r="I136" s="4"/>
      <c r="J136" s="337"/>
      <c r="K136" s="338"/>
      <c r="L136" s="338"/>
      <c r="M136" s="338"/>
      <c r="N136" s="338"/>
      <c r="O136" s="339"/>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row>
    <row r="137" spans="1:59" s="25" customFormat="1" ht="14.25">
      <c r="A137" s="19" t="s">
        <v>1460</v>
      </c>
      <c r="B137" s="24" t="s">
        <v>319</v>
      </c>
      <c r="C137" s="13" t="s">
        <v>30</v>
      </c>
      <c r="D137" s="10">
        <v>1</v>
      </c>
      <c r="E137" s="36"/>
      <c r="F137" s="4"/>
      <c r="G137" s="4"/>
      <c r="H137" s="4"/>
      <c r="I137" s="4"/>
      <c r="J137" s="337"/>
      <c r="K137" s="338"/>
      <c r="L137" s="338"/>
      <c r="M137" s="338"/>
      <c r="N137" s="338"/>
      <c r="O137" s="339"/>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row>
    <row r="138" spans="1:59" s="25" customFormat="1" ht="14.25">
      <c r="A138" s="19" t="s">
        <v>1461</v>
      </c>
      <c r="B138" s="118" t="s">
        <v>1135</v>
      </c>
      <c r="C138" s="116" t="s">
        <v>26</v>
      </c>
      <c r="D138" s="242">
        <f>D134</f>
        <v>56.7</v>
      </c>
      <c r="E138" s="33"/>
      <c r="F138" s="4"/>
      <c r="G138" s="4"/>
      <c r="H138" s="4"/>
      <c r="I138" s="4"/>
      <c r="J138" s="337"/>
      <c r="K138" s="338"/>
      <c r="L138" s="338"/>
      <c r="M138" s="338"/>
      <c r="N138" s="338"/>
      <c r="O138" s="339"/>
      <c r="P138" s="205"/>
    </row>
    <row r="139" spans="1:59">
      <c r="A139" s="106">
        <v>29</v>
      </c>
      <c r="B139" s="174" t="s">
        <v>356</v>
      </c>
      <c r="C139" s="116" t="s">
        <v>26</v>
      </c>
      <c r="D139" s="242">
        <v>226.8</v>
      </c>
      <c r="E139" s="33"/>
      <c r="F139" s="4"/>
      <c r="G139" s="4"/>
      <c r="H139" s="33"/>
      <c r="I139" s="4"/>
      <c r="J139" s="337"/>
      <c r="K139" s="338"/>
      <c r="L139" s="338"/>
      <c r="M139" s="338"/>
      <c r="N139" s="338"/>
      <c r="O139" s="339"/>
    </row>
    <row r="140" spans="1:59" s="25" customFormat="1" ht="14.25">
      <c r="A140" s="19" t="s">
        <v>1462</v>
      </c>
      <c r="B140" s="118" t="s">
        <v>210</v>
      </c>
      <c r="C140" s="226" t="s">
        <v>26</v>
      </c>
      <c r="D140" s="9">
        <f>ROUND(D139*1.02,2)</f>
        <v>231.34</v>
      </c>
      <c r="E140" s="33"/>
      <c r="F140" s="33"/>
      <c r="G140" s="33"/>
      <c r="H140" s="4"/>
      <c r="I140" s="33"/>
      <c r="J140" s="337"/>
      <c r="K140" s="338"/>
      <c r="L140" s="338"/>
      <c r="M140" s="338"/>
      <c r="N140" s="338"/>
      <c r="O140" s="339"/>
      <c r="P140" s="205"/>
    </row>
    <row r="141" spans="1:59" s="25" customFormat="1" ht="14.25">
      <c r="A141" s="19" t="s">
        <v>1463</v>
      </c>
      <c r="B141" s="24" t="s">
        <v>341</v>
      </c>
      <c r="C141" s="13" t="s">
        <v>30</v>
      </c>
      <c r="D141" s="10">
        <v>1</v>
      </c>
      <c r="E141" s="36"/>
      <c r="F141" s="4"/>
      <c r="G141" s="4"/>
      <c r="H141" s="129"/>
      <c r="I141" s="4"/>
      <c r="J141" s="337"/>
      <c r="K141" s="338"/>
      <c r="L141" s="338"/>
      <c r="M141" s="338"/>
      <c r="N141" s="338"/>
      <c r="O141" s="339"/>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row>
    <row r="142" spans="1:59" s="25" customFormat="1" ht="14.25">
      <c r="A142" s="19" t="s">
        <v>1464</v>
      </c>
      <c r="B142" s="24" t="s">
        <v>79</v>
      </c>
      <c r="C142" s="13" t="s">
        <v>42</v>
      </c>
      <c r="D142" s="9">
        <f>ROUND(D132*0.33,2)</f>
        <v>356.4</v>
      </c>
      <c r="E142" s="33"/>
      <c r="F142" s="33"/>
      <c r="G142" s="4"/>
      <c r="H142" s="4"/>
      <c r="I142" s="4"/>
      <c r="J142" s="337"/>
      <c r="K142" s="338"/>
      <c r="L142" s="338"/>
      <c r="M142" s="338"/>
      <c r="N142" s="338"/>
      <c r="O142" s="339"/>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07"/>
      <c r="AT142" s="207"/>
      <c r="AU142" s="207"/>
      <c r="AV142" s="207"/>
      <c r="AW142" s="207"/>
      <c r="AX142" s="207"/>
      <c r="AY142" s="207"/>
      <c r="AZ142" s="207"/>
      <c r="BA142" s="207"/>
      <c r="BB142" s="207"/>
      <c r="BC142" s="207"/>
      <c r="BD142" s="207"/>
      <c r="BE142" s="207"/>
      <c r="BF142" s="207"/>
      <c r="BG142" s="207"/>
    </row>
    <row r="143" spans="1:59" s="25" customFormat="1" ht="14.25">
      <c r="A143" s="19" t="s">
        <v>1465</v>
      </c>
      <c r="B143" s="24" t="s">
        <v>319</v>
      </c>
      <c r="C143" s="13" t="s">
        <v>30</v>
      </c>
      <c r="D143" s="10">
        <v>1</v>
      </c>
      <c r="E143" s="36"/>
      <c r="F143" s="4"/>
      <c r="G143" s="4"/>
      <c r="H143" s="4"/>
      <c r="I143" s="4"/>
      <c r="J143" s="337"/>
      <c r="K143" s="338"/>
      <c r="L143" s="338"/>
      <c r="M143" s="338"/>
      <c r="N143" s="338"/>
      <c r="O143" s="339"/>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c r="BB143" s="117"/>
      <c r="BC143" s="117"/>
      <c r="BD143" s="117"/>
      <c r="BE143" s="117"/>
    </row>
    <row r="144" spans="1:59" s="25" customFormat="1" ht="14.25">
      <c r="A144" s="19" t="s">
        <v>1466</v>
      </c>
      <c r="B144" s="118" t="s">
        <v>320</v>
      </c>
      <c r="C144" s="226" t="s">
        <v>321</v>
      </c>
      <c r="D144" s="9">
        <f>ROUND(D139/15,2)</f>
        <v>15.12</v>
      </c>
      <c r="E144" s="33"/>
      <c r="F144" s="33"/>
      <c r="G144" s="33"/>
      <c r="H144" s="4"/>
      <c r="I144" s="33"/>
      <c r="J144" s="337"/>
      <c r="K144" s="338"/>
      <c r="L144" s="338"/>
      <c r="M144" s="338"/>
      <c r="N144" s="338"/>
      <c r="O144" s="339"/>
      <c r="P144" s="205"/>
    </row>
    <row r="145" spans="1:59">
      <c r="A145" s="106">
        <v>30</v>
      </c>
      <c r="B145" s="174" t="s">
        <v>357</v>
      </c>
      <c r="C145" s="13" t="s">
        <v>39</v>
      </c>
      <c r="D145" s="289">
        <v>19.500800000000002</v>
      </c>
      <c r="E145" s="33"/>
      <c r="F145" s="4"/>
      <c r="G145" s="4"/>
      <c r="H145" s="33"/>
      <c r="I145" s="4"/>
      <c r="J145" s="337"/>
      <c r="K145" s="338"/>
      <c r="L145" s="338"/>
      <c r="M145" s="338"/>
      <c r="N145" s="338"/>
      <c r="O145" s="339"/>
    </row>
    <row r="146" spans="1:59" s="25" customFormat="1" ht="14.25">
      <c r="A146" s="19" t="s">
        <v>1467</v>
      </c>
      <c r="B146" s="21" t="s">
        <v>322</v>
      </c>
      <c r="C146" s="13" t="s">
        <v>39</v>
      </c>
      <c r="D146" s="161">
        <f>ROUND(D145*1.1,4)</f>
        <v>21.450900000000001</v>
      </c>
      <c r="E146" s="11"/>
      <c r="F146" s="33"/>
      <c r="G146" s="4"/>
      <c r="H146" s="11"/>
      <c r="I146" s="4"/>
      <c r="J146" s="337"/>
      <c r="K146" s="338"/>
      <c r="L146" s="338"/>
      <c r="M146" s="338"/>
      <c r="N146" s="338"/>
      <c r="O146" s="339"/>
    </row>
    <row r="147" spans="1:59" s="25" customFormat="1" ht="12" customHeight="1">
      <c r="A147" s="19" t="s">
        <v>1468</v>
      </c>
      <c r="B147" s="21" t="s">
        <v>178</v>
      </c>
      <c r="C147" s="13" t="s">
        <v>39</v>
      </c>
      <c r="D147" s="161">
        <f>ROUND(SUM(D146)*0.035,4)</f>
        <v>0.75080000000000002</v>
      </c>
      <c r="E147" s="9"/>
      <c r="F147" s="33"/>
      <c r="G147" s="4"/>
      <c r="H147" s="4"/>
      <c r="I147" s="4"/>
      <c r="J147" s="337"/>
      <c r="K147" s="338"/>
      <c r="L147" s="338"/>
      <c r="M147" s="338"/>
      <c r="N147" s="338"/>
      <c r="O147" s="339"/>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row>
    <row r="148" spans="1:59" s="25" customFormat="1" ht="14.25">
      <c r="A148" s="19" t="s">
        <v>1469</v>
      </c>
      <c r="B148" s="24" t="s">
        <v>323</v>
      </c>
      <c r="C148" s="13" t="s">
        <v>29</v>
      </c>
      <c r="D148" s="10">
        <f>ROUND(D139/0.8*9,0)</f>
        <v>2552</v>
      </c>
      <c r="E148" s="36"/>
      <c r="F148" s="4"/>
      <c r="G148" s="4"/>
      <c r="H148" s="4"/>
      <c r="I148" s="4"/>
      <c r="J148" s="337"/>
      <c r="K148" s="338"/>
      <c r="L148" s="338"/>
      <c r="M148" s="338"/>
      <c r="N148" s="338"/>
      <c r="O148" s="339"/>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7"/>
      <c r="AY148" s="117"/>
      <c r="AZ148" s="117"/>
      <c r="BA148" s="117"/>
      <c r="BB148" s="117"/>
      <c r="BC148" s="117"/>
      <c r="BD148" s="117"/>
      <c r="BE148" s="117"/>
    </row>
    <row r="149" spans="1:59" s="25" customFormat="1" ht="14.25">
      <c r="A149" s="106">
        <v>31</v>
      </c>
      <c r="B149" s="49" t="s">
        <v>78</v>
      </c>
      <c r="C149" s="13" t="s">
        <v>42</v>
      </c>
      <c r="D149" s="9">
        <f>D142</f>
        <v>356.4</v>
      </c>
      <c r="E149" s="33"/>
      <c r="F149" s="40"/>
      <c r="G149" s="4"/>
      <c r="H149" s="4"/>
      <c r="I149" s="4"/>
      <c r="J149" s="337"/>
      <c r="K149" s="338"/>
      <c r="L149" s="338"/>
      <c r="M149" s="338"/>
      <c r="N149" s="338"/>
      <c r="O149" s="339"/>
    </row>
    <row r="150" spans="1:59" s="25" customFormat="1" ht="14.25">
      <c r="A150" s="19" t="s">
        <v>1470</v>
      </c>
      <c r="B150" s="118" t="s">
        <v>128</v>
      </c>
      <c r="C150" s="116" t="s">
        <v>40</v>
      </c>
      <c r="D150" s="120">
        <f>ROUND(D149*0.075,2)</f>
        <v>26.73</v>
      </c>
      <c r="E150" s="4"/>
      <c r="F150" s="123"/>
      <c r="G150" s="112"/>
      <c r="H150" s="4"/>
      <c r="I150" s="112"/>
      <c r="J150" s="337"/>
      <c r="K150" s="338"/>
      <c r="L150" s="338"/>
      <c r="M150" s="338"/>
      <c r="N150" s="338"/>
      <c r="O150" s="339"/>
    </row>
    <row r="151" spans="1:59" s="124" customFormat="1" ht="12" customHeight="1">
      <c r="A151" s="106">
        <v>32</v>
      </c>
      <c r="B151" s="223" t="s">
        <v>179</v>
      </c>
      <c r="C151" s="139" t="s">
        <v>14</v>
      </c>
      <c r="D151" s="9">
        <f>D132</f>
        <v>1080</v>
      </c>
      <c r="E151" s="4"/>
      <c r="F151" s="40"/>
      <c r="G151" s="4"/>
      <c r="H151" s="4"/>
      <c r="I151" s="112"/>
      <c r="J151" s="337"/>
      <c r="K151" s="338"/>
      <c r="L151" s="338"/>
      <c r="M151" s="338"/>
      <c r="N151" s="338"/>
      <c r="O151" s="339"/>
      <c r="P151" s="162"/>
      <c r="Q151" s="163"/>
      <c r="R151" s="125"/>
      <c r="S151" s="125"/>
      <c r="T151" s="126"/>
      <c r="U151" s="126"/>
      <c r="V151" s="126"/>
      <c r="W151" s="126"/>
      <c r="X151" s="126"/>
      <c r="Y151" s="126"/>
    </row>
    <row r="152" spans="1:59" s="124" customFormat="1" ht="24">
      <c r="A152" s="19" t="s">
        <v>1471</v>
      </c>
      <c r="B152" s="118" t="s">
        <v>127</v>
      </c>
      <c r="C152" s="116" t="s">
        <v>38</v>
      </c>
      <c r="D152" s="122">
        <f>ROUND(D151*4,1)</f>
        <v>4320</v>
      </c>
      <c r="E152" s="4"/>
      <c r="F152" s="123"/>
      <c r="G152" s="112"/>
      <c r="H152" s="4"/>
      <c r="I152" s="112"/>
      <c r="J152" s="337"/>
      <c r="K152" s="338"/>
      <c r="L152" s="338"/>
      <c r="M152" s="338"/>
      <c r="N152" s="338"/>
      <c r="O152" s="339"/>
      <c r="P152" s="162"/>
      <c r="Q152" s="163"/>
      <c r="R152" s="125"/>
      <c r="S152" s="125"/>
      <c r="T152" s="126"/>
      <c r="U152" s="126"/>
      <c r="V152" s="126"/>
      <c r="W152" s="126"/>
      <c r="X152" s="126"/>
      <c r="Y152" s="126"/>
    </row>
    <row r="153" spans="1:59" s="25" customFormat="1" ht="14.25">
      <c r="A153" s="106"/>
      <c r="B153" s="180" t="s">
        <v>395</v>
      </c>
      <c r="C153" s="13"/>
      <c r="D153" s="9"/>
      <c r="E153" s="33"/>
      <c r="F153" s="33"/>
      <c r="G153" s="4"/>
      <c r="H153" s="4"/>
      <c r="I153" s="4"/>
      <c r="J153" s="4"/>
      <c r="K153" s="4"/>
      <c r="L153" s="4"/>
      <c r="M153" s="4"/>
      <c r="N153" s="4"/>
      <c r="O153" s="20"/>
      <c r="P153" s="117"/>
    </row>
    <row r="154" spans="1:59" s="25" customFormat="1" ht="14.25">
      <c r="A154" s="106">
        <v>33</v>
      </c>
      <c r="B154" s="49" t="s">
        <v>336</v>
      </c>
      <c r="C154" s="13" t="s">
        <v>14</v>
      </c>
      <c r="D154" s="9">
        <v>353.3</v>
      </c>
      <c r="E154" s="33"/>
      <c r="F154" s="33"/>
      <c r="G154" s="4"/>
      <c r="H154" s="34"/>
      <c r="I154" s="4"/>
      <c r="J154" s="337"/>
      <c r="K154" s="338"/>
      <c r="L154" s="338"/>
      <c r="M154" s="338"/>
      <c r="N154" s="338"/>
      <c r="O154" s="339"/>
    </row>
    <row r="155" spans="1:59" s="25" customFormat="1" ht="15" thickBot="1">
      <c r="A155" s="19" t="s">
        <v>1472</v>
      </c>
      <c r="B155" s="101" t="s">
        <v>1144</v>
      </c>
      <c r="C155" s="17" t="s">
        <v>14</v>
      </c>
      <c r="D155" s="254">
        <f>ROUND(D154*1.05,2)</f>
        <v>370.97</v>
      </c>
      <c r="E155" s="40"/>
      <c r="F155" s="40"/>
      <c r="G155" s="16"/>
      <c r="H155" s="134"/>
      <c r="I155" s="4"/>
      <c r="J155" s="337"/>
      <c r="K155" s="338"/>
      <c r="L155" s="338"/>
      <c r="M155" s="338"/>
      <c r="N155" s="338"/>
      <c r="O155" s="339"/>
    </row>
    <row r="156" spans="1:59" s="102" customFormat="1" ht="15.75" thickTop="1" thickBot="1">
      <c r="A156" s="181"/>
      <c r="B156" s="400" t="s">
        <v>1587</v>
      </c>
      <c r="C156" s="401"/>
      <c r="D156" s="401"/>
      <c r="E156" s="401"/>
      <c r="F156" s="401"/>
      <c r="G156" s="401"/>
      <c r="H156" s="401"/>
      <c r="I156" s="401"/>
      <c r="J156" s="402"/>
      <c r="K156" s="182"/>
      <c r="L156" s="182"/>
      <c r="M156" s="182"/>
      <c r="N156" s="182"/>
      <c r="O156" s="183"/>
      <c r="P156" s="25"/>
      <c r="Q156" s="25"/>
      <c r="R156" s="25"/>
      <c r="S156" s="25"/>
      <c r="T156" s="25"/>
      <c r="U156" s="25"/>
      <c r="V156" s="25"/>
      <c r="W156" s="25"/>
      <c r="X156" s="25"/>
      <c r="Y156" s="25"/>
      <c r="Z156" s="25"/>
      <c r="AA156" s="25"/>
    </row>
    <row r="157" spans="1:59" s="102" customFormat="1" ht="15" thickTop="1">
      <c r="B157" s="172"/>
      <c r="P157" s="25"/>
      <c r="Q157" s="25"/>
      <c r="R157" s="25"/>
      <c r="S157" s="25"/>
      <c r="T157" s="25"/>
      <c r="U157" s="25"/>
      <c r="V157" s="25"/>
      <c r="W157" s="25"/>
      <c r="X157" s="25"/>
      <c r="Y157" s="25"/>
      <c r="Z157" s="25"/>
      <c r="AA157" s="25"/>
    </row>
    <row r="158" spans="1:59" s="102" customFormat="1" ht="14.25">
      <c r="B158" s="324"/>
      <c r="P158" s="25"/>
      <c r="Q158" s="25"/>
      <c r="R158" s="25"/>
      <c r="S158" s="25"/>
      <c r="T158" s="25"/>
      <c r="U158" s="25"/>
      <c r="V158" s="25"/>
      <c r="W158" s="25"/>
      <c r="X158" s="25"/>
      <c r="Y158" s="25"/>
      <c r="Z158" s="25"/>
      <c r="AA158" s="25"/>
    </row>
    <row r="159" spans="1:59" s="102" customFormat="1" ht="14.25">
      <c r="A159" s="117"/>
      <c r="B159" s="172" t="s">
        <v>209</v>
      </c>
      <c r="C159" s="117"/>
      <c r="D159" s="117"/>
      <c r="E159" s="117"/>
      <c r="F159" s="117"/>
      <c r="G159" s="117"/>
      <c r="H159" s="117"/>
      <c r="P159" s="25"/>
      <c r="Q159" s="25"/>
      <c r="R159" s="25"/>
      <c r="S159" s="25"/>
      <c r="T159" s="25"/>
      <c r="U159" s="25"/>
      <c r="V159" s="25"/>
      <c r="W159" s="25"/>
      <c r="X159" s="25"/>
      <c r="Y159" s="25"/>
      <c r="Z159" s="25"/>
      <c r="AA159" s="25"/>
    </row>
    <row r="160" spans="1:59" s="102" customFormat="1" ht="14.25">
      <c r="A160" s="117"/>
      <c r="B160" s="172"/>
      <c r="C160" s="117"/>
      <c r="D160" s="117"/>
      <c r="E160" s="117"/>
      <c r="F160" s="117"/>
      <c r="G160" s="117"/>
      <c r="H160" s="117"/>
      <c r="P160" s="25"/>
      <c r="Q160" s="25"/>
      <c r="R160" s="25"/>
      <c r="S160" s="25"/>
      <c r="T160" s="25"/>
      <c r="U160" s="25"/>
      <c r="V160" s="25"/>
      <c r="W160" s="25"/>
      <c r="X160" s="25"/>
      <c r="Y160" s="25"/>
      <c r="Z160" s="25"/>
      <c r="AA160" s="25"/>
    </row>
    <row r="161" spans="1:27" s="102" customFormat="1" ht="14.25">
      <c r="B161" s="92">
        <f ca="1">TODAY()</f>
        <v>43206</v>
      </c>
      <c r="P161" s="25"/>
      <c r="Q161" s="25"/>
      <c r="R161" s="25"/>
      <c r="S161" s="25"/>
      <c r="T161" s="25"/>
      <c r="U161" s="25"/>
      <c r="V161" s="25"/>
      <c r="W161" s="25"/>
      <c r="X161" s="25"/>
      <c r="Y161" s="25"/>
      <c r="Z161" s="25"/>
      <c r="AA161" s="25"/>
    </row>
    <row r="162" spans="1:27" s="102" customFormat="1" ht="14.25">
      <c r="A162" s="117"/>
      <c r="B162" s="117"/>
      <c r="C162" s="117"/>
      <c r="D162" s="117"/>
      <c r="E162" s="117"/>
      <c r="F162" s="117"/>
      <c r="G162" s="117"/>
      <c r="H162" s="117"/>
      <c r="I162" s="117"/>
      <c r="J162" s="117"/>
      <c r="K162" s="117"/>
      <c r="L162" s="117"/>
      <c r="M162" s="117"/>
      <c r="N162" s="117"/>
      <c r="O162" s="117"/>
      <c r="P162" s="25"/>
      <c r="Q162" s="25"/>
      <c r="R162" s="25"/>
      <c r="S162" s="25"/>
      <c r="T162" s="25"/>
      <c r="U162" s="25"/>
      <c r="V162" s="25"/>
      <c r="W162" s="25"/>
      <c r="X162" s="25"/>
      <c r="Y162" s="25"/>
      <c r="Z162" s="25"/>
      <c r="AA162" s="25"/>
    </row>
    <row r="163" spans="1:27" s="102" customFormat="1" ht="14.25">
      <c r="A163" s="117"/>
      <c r="B163" s="220" t="s">
        <v>1358</v>
      </c>
      <c r="C163" s="220"/>
      <c r="D163" s="220"/>
      <c r="E163" s="220"/>
      <c r="F163" s="117"/>
      <c r="G163" s="117"/>
      <c r="H163" s="117"/>
      <c r="I163" s="117"/>
      <c r="J163" s="117"/>
      <c r="K163" s="117"/>
      <c r="L163" s="117"/>
      <c r="M163" s="117"/>
      <c r="N163" s="117"/>
      <c r="O163" s="117"/>
      <c r="P163" s="25"/>
      <c r="Q163" s="25"/>
      <c r="R163" s="25"/>
      <c r="S163" s="25"/>
      <c r="T163" s="25"/>
      <c r="U163" s="25"/>
      <c r="V163" s="25"/>
      <c r="W163" s="25"/>
      <c r="X163" s="25"/>
      <c r="Y163" s="25"/>
      <c r="Z163" s="25"/>
      <c r="AA163" s="25"/>
    </row>
    <row r="164" spans="1:27">
      <c r="B164" s="220" t="s">
        <v>1362</v>
      </c>
      <c r="C164" s="220"/>
      <c r="D164" s="220"/>
      <c r="E164" s="220"/>
      <c r="P164" s="133"/>
      <c r="Q164" s="133"/>
      <c r="R164" s="133"/>
      <c r="S164" s="133"/>
      <c r="T164" s="133"/>
      <c r="U164" s="133"/>
      <c r="V164" s="133"/>
      <c r="W164" s="133"/>
      <c r="X164" s="133"/>
      <c r="Y164" s="133"/>
      <c r="Z164" s="133"/>
      <c r="AA164" s="133"/>
    </row>
    <row r="166" spans="1:27">
      <c r="P166" s="133"/>
      <c r="Q166" s="133"/>
      <c r="R166" s="133"/>
      <c r="S166" s="133"/>
      <c r="T166" s="133"/>
      <c r="U166" s="133"/>
      <c r="V166" s="133"/>
      <c r="W166" s="133"/>
      <c r="X166" s="133"/>
      <c r="Y166" s="133"/>
      <c r="Z166" s="133"/>
      <c r="AA166" s="133"/>
    </row>
    <row r="167" spans="1:27">
      <c r="P167" s="133"/>
      <c r="Q167" s="133"/>
      <c r="R167" s="133"/>
      <c r="S167" s="133"/>
      <c r="T167" s="133"/>
      <c r="U167" s="133"/>
      <c r="V167" s="133"/>
      <c r="W167" s="133"/>
      <c r="X167" s="133"/>
      <c r="Y167" s="133"/>
      <c r="Z167" s="133"/>
      <c r="AA167" s="133"/>
    </row>
    <row r="168" spans="1:27">
      <c r="P168" s="133"/>
      <c r="Q168" s="133"/>
      <c r="R168" s="133"/>
      <c r="S168" s="133"/>
      <c r="T168" s="133"/>
      <c r="U168" s="133"/>
      <c r="V168" s="133"/>
      <c r="W168" s="133"/>
      <c r="X168" s="133"/>
      <c r="Y168" s="133"/>
      <c r="Z168" s="133"/>
      <c r="AA168" s="133"/>
    </row>
    <row r="169" spans="1:27">
      <c r="P169" s="133"/>
      <c r="Q169" s="133"/>
      <c r="R169" s="133"/>
      <c r="S169" s="133"/>
      <c r="T169" s="133"/>
      <c r="U169" s="133"/>
      <c r="V169" s="133"/>
      <c r="W169" s="133"/>
      <c r="X169" s="133"/>
      <c r="Y169" s="133"/>
      <c r="Z169" s="133"/>
      <c r="AA169" s="133"/>
    </row>
    <row r="170" spans="1:27">
      <c r="P170" s="133"/>
      <c r="Q170" s="133"/>
      <c r="R170" s="133"/>
      <c r="S170" s="133"/>
      <c r="T170" s="133"/>
      <c r="U170" s="133"/>
      <c r="V170" s="133"/>
      <c r="W170" s="133"/>
      <c r="X170" s="133"/>
      <c r="Y170" s="133"/>
      <c r="Z170" s="133"/>
      <c r="AA170" s="133"/>
    </row>
    <row r="171" spans="1:27">
      <c r="P171" s="133"/>
      <c r="Q171" s="133"/>
      <c r="R171" s="133"/>
      <c r="S171" s="133"/>
      <c r="T171" s="133"/>
      <c r="U171" s="133"/>
      <c r="V171" s="133"/>
      <c r="W171" s="133"/>
      <c r="X171" s="133"/>
      <c r="Y171" s="133"/>
      <c r="Z171" s="133"/>
      <c r="AA171" s="133"/>
    </row>
    <row r="172" spans="1:27">
      <c r="P172" s="133"/>
      <c r="Q172" s="133"/>
      <c r="R172" s="133"/>
      <c r="S172" s="133"/>
      <c r="T172" s="133"/>
      <c r="U172" s="133"/>
      <c r="V172" s="133"/>
      <c r="W172" s="133"/>
      <c r="X172" s="133"/>
      <c r="Y172" s="133"/>
      <c r="Z172" s="133"/>
      <c r="AA172" s="133"/>
    </row>
    <row r="173" spans="1:27">
      <c r="P173" s="133"/>
      <c r="Q173" s="133"/>
      <c r="R173" s="133"/>
      <c r="S173" s="133"/>
      <c r="T173" s="133"/>
      <c r="U173" s="133"/>
      <c r="V173" s="133"/>
      <c r="W173" s="133"/>
      <c r="X173" s="133"/>
      <c r="Y173" s="133"/>
      <c r="Z173" s="133"/>
      <c r="AA173" s="133"/>
    </row>
    <row r="174" spans="1:27">
      <c r="P174" s="133"/>
      <c r="Q174" s="133"/>
      <c r="R174" s="133"/>
      <c r="S174" s="133"/>
      <c r="T174" s="133"/>
      <c r="U174" s="133"/>
      <c r="V174" s="133"/>
      <c r="W174" s="133"/>
      <c r="X174" s="133"/>
      <c r="Y174" s="133"/>
      <c r="Z174" s="133"/>
      <c r="AA174" s="133"/>
    </row>
    <row r="175" spans="1:27">
      <c r="P175" s="133"/>
      <c r="Q175" s="133"/>
      <c r="R175" s="133"/>
      <c r="S175" s="133"/>
      <c r="T175" s="133"/>
      <c r="U175" s="133"/>
      <c r="V175" s="133"/>
      <c r="W175" s="133"/>
      <c r="X175" s="133"/>
      <c r="Y175" s="133"/>
      <c r="Z175" s="133"/>
      <c r="AA175" s="133"/>
    </row>
    <row r="176" spans="1:27">
      <c r="P176" s="133"/>
      <c r="Q176" s="133"/>
      <c r="R176" s="133"/>
      <c r="S176" s="133"/>
      <c r="T176" s="133"/>
      <c r="U176" s="133"/>
      <c r="V176" s="133"/>
      <c r="W176" s="133"/>
      <c r="X176" s="133"/>
      <c r="Y176" s="133"/>
      <c r="Z176" s="133"/>
      <c r="AA176" s="133"/>
    </row>
    <row r="177" spans="16:27">
      <c r="P177" s="133"/>
      <c r="Q177" s="133"/>
      <c r="R177" s="133"/>
      <c r="S177" s="133"/>
      <c r="T177" s="133"/>
      <c r="U177" s="133"/>
      <c r="V177" s="133"/>
      <c r="W177" s="133"/>
      <c r="X177" s="133"/>
      <c r="Y177" s="133"/>
      <c r="Z177" s="133"/>
      <c r="AA177" s="133"/>
    </row>
    <row r="178" spans="16:27">
      <c r="P178" s="133"/>
      <c r="Q178" s="133"/>
      <c r="R178" s="133"/>
      <c r="S178" s="133"/>
      <c r="T178" s="133"/>
      <c r="U178" s="133"/>
      <c r="V178" s="133"/>
      <c r="W178" s="133"/>
      <c r="X178" s="133"/>
      <c r="Y178" s="133"/>
      <c r="Z178" s="133"/>
      <c r="AA178" s="133"/>
    </row>
    <row r="179" spans="16:27">
      <c r="P179" s="133"/>
      <c r="Q179" s="133"/>
      <c r="R179" s="133"/>
      <c r="S179" s="133"/>
      <c r="T179" s="133"/>
      <c r="U179" s="133"/>
      <c r="V179" s="133"/>
      <c r="W179" s="133"/>
      <c r="X179" s="133"/>
      <c r="Y179" s="133"/>
      <c r="Z179" s="133"/>
      <c r="AA179" s="133"/>
    </row>
    <row r="180" spans="16:27">
      <c r="P180" s="133"/>
      <c r="Q180" s="133"/>
      <c r="R180" s="133"/>
      <c r="S180" s="133"/>
      <c r="T180" s="133"/>
      <c r="U180" s="133"/>
      <c r="V180" s="133"/>
      <c r="W180" s="133"/>
      <c r="X180" s="133"/>
      <c r="Y180" s="133"/>
      <c r="Z180" s="133"/>
      <c r="AA180" s="133"/>
    </row>
    <row r="181" spans="16:27">
      <c r="P181" s="133"/>
      <c r="Q181" s="133"/>
      <c r="R181" s="133"/>
      <c r="S181" s="133"/>
      <c r="T181" s="133"/>
      <c r="U181" s="133"/>
      <c r="V181" s="133"/>
      <c r="W181" s="133"/>
      <c r="X181" s="133"/>
      <c r="Y181" s="133"/>
      <c r="Z181" s="133"/>
      <c r="AA181" s="133"/>
    </row>
    <row r="182" spans="16:27">
      <c r="P182" s="133"/>
      <c r="Q182" s="133"/>
      <c r="R182" s="133"/>
      <c r="S182" s="133"/>
      <c r="T182" s="133"/>
      <c r="U182" s="133"/>
      <c r="V182" s="133"/>
      <c r="W182" s="133"/>
      <c r="X182" s="133"/>
      <c r="Y182" s="133"/>
      <c r="Z182" s="133"/>
      <c r="AA182" s="133"/>
    </row>
    <row r="183" spans="16:27">
      <c r="P183" s="133"/>
      <c r="Q183" s="133"/>
      <c r="R183" s="133"/>
      <c r="S183" s="133"/>
      <c r="T183" s="133"/>
      <c r="U183" s="133"/>
      <c r="V183" s="133"/>
      <c r="W183" s="133"/>
      <c r="X183" s="133"/>
      <c r="Y183" s="133"/>
      <c r="Z183" s="133"/>
      <c r="AA183" s="133"/>
    </row>
    <row r="184" spans="16:27">
      <c r="P184" s="133"/>
      <c r="Q184" s="133"/>
      <c r="R184" s="133"/>
      <c r="S184" s="133"/>
      <c r="T184" s="133"/>
      <c r="U184" s="133"/>
      <c r="V184" s="133"/>
      <c r="W184" s="133"/>
      <c r="X184" s="133"/>
      <c r="Y184" s="133"/>
      <c r="Z184" s="133"/>
      <c r="AA184" s="133"/>
    </row>
    <row r="185" spans="16:27">
      <c r="P185" s="133"/>
      <c r="Q185" s="133"/>
      <c r="R185" s="133"/>
      <c r="S185" s="133"/>
      <c r="T185" s="133"/>
      <c r="U185" s="133"/>
      <c r="V185" s="133"/>
      <c r="W185" s="133"/>
      <c r="X185" s="133"/>
      <c r="Y185" s="133"/>
      <c r="Z185" s="133"/>
      <c r="AA185" s="133"/>
    </row>
  </sheetData>
  <mergeCells count="22">
    <mergeCell ref="B156:J156"/>
    <mergeCell ref="A1:O1"/>
    <mergeCell ref="A2:O2"/>
    <mergeCell ref="A7:A11"/>
    <mergeCell ref="B7:B11"/>
    <mergeCell ref="C7:C11"/>
    <mergeCell ref="D7:D11"/>
    <mergeCell ref="E7:J7"/>
    <mergeCell ref="E8:E11"/>
    <mergeCell ref="F8:F11"/>
    <mergeCell ref="G8:G11"/>
    <mergeCell ref="H8:H11"/>
    <mergeCell ref="I8:I11"/>
    <mergeCell ref="J8:J11"/>
    <mergeCell ref="M8:M11"/>
    <mergeCell ref="N8:N11"/>
    <mergeCell ref="O8:O11"/>
    <mergeCell ref="J6:M6"/>
    <mergeCell ref="N6:O6"/>
    <mergeCell ref="K7:O7"/>
    <mergeCell ref="K8:K11"/>
    <mergeCell ref="L8:L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13"/>
  <sheetViews>
    <sheetView topLeftCell="A73" zoomScaleNormal="100" workbookViewId="0">
      <selection activeCell="J95" sqref="J95"/>
    </sheetView>
  </sheetViews>
  <sheetFormatPr defaultColWidth="9.140625" defaultRowHeight="12.75"/>
  <cols>
    <col min="1" max="1" width="6.5703125" style="117" customWidth="1"/>
    <col min="2" max="2" width="35.5703125" style="117" customWidth="1"/>
    <col min="3" max="3" width="6.7109375" style="117" customWidth="1"/>
    <col min="4" max="4" width="7.140625" style="117" customWidth="1"/>
    <col min="5" max="10" width="9" style="117" customWidth="1"/>
    <col min="11" max="11" width="9.28515625" style="117" customWidth="1"/>
    <col min="12" max="14" width="9.7109375" style="117" customWidth="1"/>
    <col min="15" max="15" width="12" style="117" customWidth="1"/>
    <col min="16" max="16384" width="9.140625" style="117"/>
  </cols>
  <sheetData>
    <row r="1" spans="1:15" s="102" customFormat="1" ht="14.25">
      <c r="A1" s="396" t="s">
        <v>170</v>
      </c>
      <c r="B1" s="396"/>
      <c r="C1" s="396"/>
      <c r="D1" s="396"/>
      <c r="E1" s="396"/>
      <c r="F1" s="396"/>
      <c r="G1" s="396"/>
      <c r="H1" s="396"/>
      <c r="I1" s="396"/>
      <c r="J1" s="396"/>
      <c r="K1" s="396"/>
      <c r="L1" s="396"/>
      <c r="M1" s="396"/>
      <c r="N1" s="396"/>
      <c r="O1" s="396"/>
    </row>
    <row r="2" spans="1:15" s="102" customFormat="1" ht="14.25">
      <c r="A2" s="397" t="str">
        <f>Kopsavilkums!C21</f>
        <v>Ēkas karkass</v>
      </c>
      <c r="B2" s="397"/>
      <c r="C2" s="397"/>
      <c r="D2" s="397"/>
      <c r="E2" s="397"/>
      <c r="F2" s="397"/>
      <c r="G2" s="397"/>
      <c r="H2" s="397"/>
      <c r="I2" s="397"/>
      <c r="J2" s="397"/>
      <c r="K2" s="397"/>
      <c r="L2" s="397"/>
      <c r="M2" s="397"/>
      <c r="N2" s="397"/>
      <c r="O2" s="397"/>
    </row>
    <row r="3" spans="1:15" s="102" customFormat="1" ht="14.25">
      <c r="A3" s="115" t="s">
        <v>1246</v>
      </c>
      <c r="B3" s="177"/>
      <c r="C3" s="177"/>
      <c r="D3" s="177"/>
      <c r="E3" s="177"/>
      <c r="F3" s="177"/>
      <c r="G3" s="177"/>
      <c r="H3" s="177"/>
      <c r="I3" s="177"/>
      <c r="J3" s="177"/>
      <c r="K3" s="177"/>
      <c r="L3" s="177"/>
      <c r="M3" s="177"/>
      <c r="N3" s="177"/>
      <c r="O3" s="177"/>
    </row>
    <row r="4" spans="1:15" s="102" customFormat="1" ht="14.25">
      <c r="A4" s="115" t="s">
        <v>307</v>
      </c>
      <c r="B4" s="177"/>
      <c r="C4" s="177"/>
      <c r="D4" s="177"/>
      <c r="E4" s="177"/>
      <c r="F4" s="177"/>
      <c r="G4" s="177"/>
      <c r="H4" s="177"/>
      <c r="I4" s="177"/>
      <c r="J4" s="177"/>
      <c r="K4" s="177"/>
      <c r="L4" s="177"/>
      <c r="M4" s="177"/>
      <c r="N4" s="177"/>
      <c r="O4" s="177"/>
    </row>
    <row r="5" spans="1:15" s="102" customFormat="1" ht="14.25">
      <c r="A5" s="115" t="s">
        <v>306</v>
      </c>
      <c r="B5" s="177"/>
      <c r="C5" s="177"/>
      <c r="D5" s="177"/>
      <c r="E5" s="177"/>
      <c r="F5" s="177"/>
      <c r="G5" s="177"/>
      <c r="H5" s="177"/>
      <c r="I5" s="177"/>
      <c r="J5" s="177"/>
      <c r="K5" s="177"/>
      <c r="L5" s="177"/>
      <c r="M5" s="177"/>
      <c r="N5" s="177"/>
      <c r="O5" s="177"/>
    </row>
    <row r="6" spans="1:15" ht="13.5" thickBot="1">
      <c r="E6" s="133"/>
      <c r="F6" s="133"/>
      <c r="G6" s="133"/>
      <c r="H6" s="133"/>
      <c r="I6" s="133"/>
      <c r="J6" s="398" t="s">
        <v>13</v>
      </c>
      <c r="K6" s="398"/>
      <c r="L6" s="398"/>
      <c r="M6" s="398"/>
      <c r="N6" s="399" t="e">
        <f>#REF!</f>
        <v>#REF!</v>
      </c>
      <c r="O6" s="399"/>
    </row>
    <row r="7" spans="1:15" s="133" customFormat="1" ht="12.75" customHeight="1">
      <c r="A7" s="378" t="s">
        <v>27</v>
      </c>
      <c r="B7" s="381" t="s">
        <v>28</v>
      </c>
      <c r="C7" s="381" t="s">
        <v>17</v>
      </c>
      <c r="D7" s="381" t="s">
        <v>19</v>
      </c>
      <c r="E7" s="390" t="s">
        <v>15</v>
      </c>
      <c r="F7" s="391"/>
      <c r="G7" s="391"/>
      <c r="H7" s="391"/>
      <c r="I7" s="391"/>
      <c r="J7" s="392"/>
      <c r="K7" s="390" t="s">
        <v>16</v>
      </c>
      <c r="L7" s="391"/>
      <c r="M7" s="391"/>
      <c r="N7" s="391"/>
      <c r="O7" s="393"/>
    </row>
    <row r="8" spans="1:15" s="133" customFormat="1" ht="12.75" customHeight="1">
      <c r="A8" s="379"/>
      <c r="B8" s="382"/>
      <c r="C8" s="382"/>
      <c r="D8" s="382"/>
      <c r="E8" s="394" t="s">
        <v>18</v>
      </c>
      <c r="F8" s="375" t="s">
        <v>119</v>
      </c>
      <c r="G8" s="375" t="s">
        <v>120</v>
      </c>
      <c r="H8" s="375" t="s">
        <v>121</v>
      </c>
      <c r="I8" s="375" t="s">
        <v>122</v>
      </c>
      <c r="J8" s="372" t="s">
        <v>125</v>
      </c>
      <c r="K8" s="375" t="s">
        <v>20</v>
      </c>
      <c r="L8" s="375" t="s">
        <v>123</v>
      </c>
      <c r="M8" s="375" t="s">
        <v>121</v>
      </c>
      <c r="N8" s="375" t="s">
        <v>122</v>
      </c>
      <c r="O8" s="384" t="s">
        <v>124</v>
      </c>
    </row>
    <row r="9" spans="1:15" s="133" customFormat="1">
      <c r="A9" s="379"/>
      <c r="B9" s="382"/>
      <c r="C9" s="382"/>
      <c r="D9" s="382"/>
      <c r="E9" s="394"/>
      <c r="F9" s="376"/>
      <c r="G9" s="376"/>
      <c r="H9" s="376"/>
      <c r="I9" s="376"/>
      <c r="J9" s="373"/>
      <c r="K9" s="376"/>
      <c r="L9" s="376"/>
      <c r="M9" s="376"/>
      <c r="N9" s="376"/>
      <c r="O9" s="385"/>
    </row>
    <row r="10" spans="1:15" s="133" customFormat="1" ht="13.5" thickBot="1">
      <c r="A10" s="380"/>
      <c r="B10" s="383"/>
      <c r="C10" s="383"/>
      <c r="D10" s="383"/>
      <c r="E10" s="395"/>
      <c r="F10" s="377"/>
      <c r="G10" s="377"/>
      <c r="H10" s="377"/>
      <c r="I10" s="377"/>
      <c r="J10" s="374"/>
      <c r="K10" s="377"/>
      <c r="L10" s="377"/>
      <c r="M10" s="377"/>
      <c r="N10" s="377"/>
      <c r="O10" s="386"/>
    </row>
    <row r="11" spans="1:15" s="133" customFormat="1" ht="14.25" thickTop="1" thickBot="1">
      <c r="A11" s="52">
        <v>1</v>
      </c>
      <c r="B11" s="53">
        <v>2</v>
      </c>
      <c r="C11" s="53">
        <v>3</v>
      </c>
      <c r="D11" s="53">
        <v>4</v>
      </c>
      <c r="E11" s="53">
        <v>5</v>
      </c>
      <c r="F11" s="53">
        <v>6</v>
      </c>
      <c r="G11" s="53">
        <v>7</v>
      </c>
      <c r="H11" s="53">
        <v>8</v>
      </c>
      <c r="I11" s="53">
        <v>9</v>
      </c>
      <c r="J11" s="54">
        <v>10</v>
      </c>
      <c r="K11" s="53">
        <v>11</v>
      </c>
      <c r="L11" s="54">
        <v>12</v>
      </c>
      <c r="M11" s="53">
        <v>13</v>
      </c>
      <c r="N11" s="54">
        <v>14</v>
      </c>
      <c r="O11" s="55">
        <v>15</v>
      </c>
    </row>
    <row r="12" spans="1:15" s="25" customFormat="1" ht="15" thickTop="1">
      <c r="A12" s="106"/>
      <c r="B12" s="180" t="s">
        <v>158</v>
      </c>
      <c r="C12" s="13"/>
      <c r="D12" s="9"/>
      <c r="E12" s="33"/>
      <c r="F12" s="33"/>
      <c r="G12" s="4"/>
      <c r="H12" s="4"/>
      <c r="I12" s="4"/>
      <c r="J12" s="4"/>
      <c r="K12" s="4"/>
      <c r="L12" s="4"/>
      <c r="M12" s="4"/>
      <c r="N12" s="4"/>
      <c r="O12" s="20"/>
    </row>
    <row r="13" spans="1:15" s="38" customFormat="1" ht="36">
      <c r="A13" s="106">
        <f t="shared" ref="A13" si="0">A12+1</f>
        <v>1</v>
      </c>
      <c r="B13" s="306" t="s">
        <v>358</v>
      </c>
      <c r="C13" s="13" t="s">
        <v>39</v>
      </c>
      <c r="D13" s="161">
        <f>67.6304-2.7469</f>
        <v>64.883499999999998</v>
      </c>
      <c r="E13" s="4"/>
      <c r="F13" s="4"/>
      <c r="G13" s="4"/>
      <c r="H13" s="4"/>
      <c r="I13" s="4"/>
      <c r="J13" s="337"/>
      <c r="K13" s="338"/>
      <c r="L13" s="338"/>
      <c r="M13" s="338"/>
      <c r="N13" s="338"/>
      <c r="O13" s="339"/>
    </row>
    <row r="14" spans="1:15" s="25" customFormat="1" ht="14.25">
      <c r="A14" s="106"/>
      <c r="B14" s="180" t="s">
        <v>315</v>
      </c>
      <c r="C14" s="13"/>
      <c r="D14" s="9"/>
      <c r="E14" s="33"/>
      <c r="F14" s="33"/>
      <c r="G14" s="4"/>
      <c r="H14" s="4"/>
      <c r="I14" s="4"/>
      <c r="J14" s="4"/>
      <c r="K14" s="4"/>
      <c r="L14" s="4"/>
      <c r="M14" s="4"/>
      <c r="N14" s="4"/>
      <c r="O14" s="20"/>
    </row>
    <row r="15" spans="1:15" s="25" customFormat="1" ht="14.25">
      <c r="A15" s="106"/>
      <c r="B15" s="180" t="s">
        <v>316</v>
      </c>
      <c r="C15" s="111" t="s">
        <v>14</v>
      </c>
      <c r="D15" s="120">
        <v>333.4</v>
      </c>
      <c r="E15" s="33"/>
      <c r="F15" s="33"/>
      <c r="G15" s="4"/>
      <c r="H15" s="4"/>
      <c r="I15" s="4"/>
      <c r="J15" s="4"/>
      <c r="K15" s="4"/>
      <c r="L15" s="4"/>
      <c r="M15" s="4"/>
      <c r="N15" s="4"/>
      <c r="O15" s="20"/>
    </row>
    <row r="16" spans="1:15" s="18" customFormat="1" ht="14.25">
      <c r="A16" s="106">
        <v>2</v>
      </c>
      <c r="B16" s="2" t="s">
        <v>1136</v>
      </c>
      <c r="C16" s="116" t="s">
        <v>14</v>
      </c>
      <c r="D16" s="14">
        <f>D15</f>
        <v>333.4</v>
      </c>
      <c r="E16" s="132"/>
      <c r="F16" s="33"/>
      <c r="G16" s="4"/>
      <c r="H16" s="34"/>
      <c r="I16" s="4"/>
      <c r="J16" s="337"/>
      <c r="K16" s="338"/>
      <c r="L16" s="338"/>
      <c r="M16" s="338"/>
      <c r="N16" s="338"/>
      <c r="O16" s="339"/>
    </row>
    <row r="17" spans="1:59" s="25" customFormat="1" ht="14.25">
      <c r="A17" s="19" t="s">
        <v>1372</v>
      </c>
      <c r="B17" s="21" t="s">
        <v>234</v>
      </c>
      <c r="C17" s="13" t="s">
        <v>42</v>
      </c>
      <c r="D17" s="14">
        <f>ROUND(SQRT(D16)/1*SQRT(D16)*1.1,1)</f>
        <v>366.7</v>
      </c>
      <c r="E17" s="33"/>
      <c r="F17" s="33"/>
      <c r="G17" s="33"/>
      <c r="H17" s="4"/>
      <c r="I17" s="4"/>
      <c r="J17" s="337"/>
      <c r="K17" s="338"/>
      <c r="L17" s="338"/>
      <c r="M17" s="338"/>
      <c r="N17" s="338"/>
      <c r="O17" s="339"/>
    </row>
    <row r="18" spans="1:59" s="25" customFormat="1" ht="14.25">
      <c r="A18" s="19" t="s">
        <v>1373</v>
      </c>
      <c r="B18" s="24" t="s">
        <v>235</v>
      </c>
      <c r="C18" s="13" t="s">
        <v>30</v>
      </c>
      <c r="D18" s="10">
        <v>1</v>
      </c>
      <c r="E18" s="36"/>
      <c r="F18" s="36"/>
      <c r="G18" s="33"/>
      <c r="H18" s="4"/>
      <c r="I18" s="4"/>
      <c r="J18" s="337"/>
      <c r="K18" s="338"/>
      <c r="L18" s="338"/>
      <c r="M18" s="338"/>
      <c r="N18" s="338"/>
      <c r="O18" s="339"/>
    </row>
    <row r="19" spans="1:59" s="25" customFormat="1" ht="14.25">
      <c r="A19" s="106">
        <v>3</v>
      </c>
      <c r="B19" s="173" t="s">
        <v>236</v>
      </c>
      <c r="C19" s="116" t="s">
        <v>14</v>
      </c>
      <c r="D19" s="14">
        <f>D15</f>
        <v>333.4</v>
      </c>
      <c r="E19" s="11"/>
      <c r="F19" s="33"/>
      <c r="G19" s="4"/>
      <c r="H19" s="11"/>
      <c r="I19" s="4"/>
      <c r="J19" s="337"/>
      <c r="K19" s="338"/>
      <c r="L19" s="338"/>
      <c r="M19" s="338"/>
      <c r="N19" s="338"/>
      <c r="O19" s="339"/>
    </row>
    <row r="20" spans="1:59" s="25" customFormat="1" ht="24">
      <c r="A20" s="19" t="s">
        <v>1376</v>
      </c>
      <c r="B20" s="21" t="s">
        <v>1143</v>
      </c>
      <c r="C20" s="13" t="s">
        <v>14</v>
      </c>
      <c r="D20" s="9">
        <f>ROUND(D19*1.125,2)</f>
        <v>375.08</v>
      </c>
      <c r="E20" s="33"/>
      <c r="F20" s="33"/>
      <c r="G20" s="33"/>
      <c r="H20" s="4"/>
      <c r="I20" s="4"/>
      <c r="J20" s="337"/>
      <c r="K20" s="338"/>
      <c r="L20" s="338"/>
      <c r="M20" s="338"/>
      <c r="N20" s="338"/>
      <c r="O20" s="339"/>
    </row>
    <row r="21" spans="1:59" s="25" customFormat="1" ht="14.25">
      <c r="A21" s="19" t="s">
        <v>1377</v>
      </c>
      <c r="B21" s="24" t="s">
        <v>235</v>
      </c>
      <c r="C21" s="13" t="s">
        <v>30</v>
      </c>
      <c r="D21" s="10">
        <v>1</v>
      </c>
      <c r="E21" s="36"/>
      <c r="F21" s="36"/>
      <c r="G21" s="33"/>
      <c r="H21" s="4"/>
      <c r="I21" s="4"/>
      <c r="J21" s="337"/>
      <c r="K21" s="338"/>
      <c r="L21" s="338"/>
      <c r="M21" s="338"/>
      <c r="N21" s="338"/>
      <c r="O21" s="339"/>
    </row>
    <row r="22" spans="1:59" s="25" customFormat="1" ht="14.25">
      <c r="A22" s="106"/>
      <c r="B22" s="180" t="s">
        <v>369</v>
      </c>
      <c r="C22" s="13"/>
      <c r="D22" s="9"/>
      <c r="E22" s="33"/>
      <c r="F22" s="33"/>
      <c r="G22" s="4"/>
      <c r="H22" s="4"/>
      <c r="I22" s="4"/>
      <c r="J22" s="4"/>
      <c r="K22" s="4"/>
      <c r="L22" s="4"/>
      <c r="M22" s="4"/>
      <c r="N22" s="4"/>
      <c r="O22" s="20"/>
    </row>
    <row r="23" spans="1:59" s="25" customFormat="1" ht="14.25">
      <c r="A23" s="106">
        <v>4</v>
      </c>
      <c r="B23" s="2" t="s">
        <v>317</v>
      </c>
      <c r="C23" s="204" t="s">
        <v>26</v>
      </c>
      <c r="D23" s="9">
        <v>30.9</v>
      </c>
      <c r="E23" s="9"/>
      <c r="F23" s="4"/>
      <c r="G23" s="4"/>
      <c r="H23" s="34"/>
      <c r="I23" s="4"/>
      <c r="J23" s="337"/>
      <c r="K23" s="338"/>
      <c r="L23" s="338"/>
      <c r="M23" s="338"/>
      <c r="N23" s="338"/>
      <c r="O23" s="339"/>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row>
    <row r="24" spans="1:59" s="25" customFormat="1" ht="14.25">
      <c r="A24" s="19" t="s">
        <v>1419</v>
      </c>
      <c r="B24" s="118" t="s">
        <v>210</v>
      </c>
      <c r="C24" s="204" t="s">
        <v>26</v>
      </c>
      <c r="D24" s="9">
        <f>ROUND(D23*1.02,2)</f>
        <v>31.52</v>
      </c>
      <c r="E24" s="4"/>
      <c r="F24" s="33"/>
      <c r="G24" s="33"/>
      <c r="H24" s="4"/>
      <c r="I24" s="33"/>
      <c r="J24" s="337"/>
      <c r="K24" s="338"/>
      <c r="L24" s="338"/>
      <c r="M24" s="338"/>
      <c r="N24" s="338"/>
      <c r="O24" s="339"/>
    </row>
    <row r="25" spans="1:59" s="25" customFormat="1" ht="14.25">
      <c r="A25" s="19" t="s">
        <v>1420</v>
      </c>
      <c r="B25" s="21" t="s">
        <v>318</v>
      </c>
      <c r="C25" s="13" t="s">
        <v>30</v>
      </c>
      <c r="D25" s="10">
        <v>1</v>
      </c>
      <c r="E25" s="9"/>
      <c r="F25" s="33"/>
      <c r="G25" s="4"/>
      <c r="H25" s="129"/>
      <c r="I25" s="4"/>
      <c r="J25" s="337"/>
      <c r="K25" s="338"/>
      <c r="L25" s="338"/>
      <c r="M25" s="338"/>
      <c r="N25" s="338"/>
      <c r="O25" s="339"/>
    </row>
    <row r="26" spans="1:59" s="25" customFormat="1" ht="14.25">
      <c r="A26" s="19" t="s">
        <v>1427</v>
      </c>
      <c r="B26" s="21" t="s">
        <v>319</v>
      </c>
      <c r="C26" s="13" t="s">
        <v>30</v>
      </c>
      <c r="D26" s="10">
        <v>1</v>
      </c>
      <c r="E26" s="9"/>
      <c r="F26" s="33"/>
      <c r="G26" s="4"/>
      <c r="H26" s="4"/>
      <c r="I26" s="4"/>
      <c r="J26" s="337"/>
      <c r="K26" s="338"/>
      <c r="L26" s="338"/>
      <c r="M26" s="338"/>
      <c r="N26" s="338"/>
      <c r="O26" s="339"/>
    </row>
    <row r="27" spans="1:59" s="25" customFormat="1" ht="14.25">
      <c r="A27" s="19" t="s">
        <v>1473</v>
      </c>
      <c r="B27" s="118" t="s">
        <v>320</v>
      </c>
      <c r="C27" s="204" t="s">
        <v>321</v>
      </c>
      <c r="D27" s="140">
        <f>ROUND(D23/10,2)</f>
        <v>3.09</v>
      </c>
      <c r="E27" s="4"/>
      <c r="F27" s="33"/>
      <c r="G27" s="33"/>
      <c r="H27" s="4"/>
      <c r="I27" s="33"/>
      <c r="J27" s="337"/>
      <c r="K27" s="338"/>
      <c r="L27" s="338"/>
      <c r="M27" s="338"/>
      <c r="N27" s="338"/>
      <c r="O27" s="339"/>
    </row>
    <row r="28" spans="1:59">
      <c r="A28" s="106">
        <v>5</v>
      </c>
      <c r="B28" s="174" t="s">
        <v>324</v>
      </c>
      <c r="C28" s="13" t="s">
        <v>39</v>
      </c>
      <c r="D28" s="262">
        <v>2.7706</v>
      </c>
      <c r="E28" s="33"/>
      <c r="F28" s="4"/>
      <c r="G28" s="4"/>
      <c r="H28" s="33"/>
      <c r="I28" s="4"/>
      <c r="J28" s="337"/>
      <c r="K28" s="338"/>
      <c r="L28" s="338"/>
      <c r="M28" s="338"/>
      <c r="N28" s="338"/>
      <c r="O28" s="339"/>
    </row>
    <row r="29" spans="1:59" s="25" customFormat="1" ht="14.25">
      <c r="A29" s="19" t="s">
        <v>1369</v>
      </c>
      <c r="B29" s="21" t="s">
        <v>322</v>
      </c>
      <c r="C29" s="13" t="s">
        <v>39</v>
      </c>
      <c r="D29" s="161">
        <f>ROUND(D28*1.1,4)</f>
        <v>3.0476999999999999</v>
      </c>
      <c r="E29" s="11"/>
      <c r="F29" s="33"/>
      <c r="G29" s="4"/>
      <c r="H29" s="11"/>
      <c r="I29" s="4"/>
      <c r="J29" s="337"/>
      <c r="K29" s="338"/>
      <c r="L29" s="338"/>
      <c r="M29" s="338"/>
      <c r="N29" s="338"/>
      <c r="O29" s="339"/>
    </row>
    <row r="30" spans="1:59" s="25" customFormat="1" ht="12" customHeight="1">
      <c r="A30" s="19" t="s">
        <v>1379</v>
      </c>
      <c r="B30" s="21" t="s">
        <v>178</v>
      </c>
      <c r="C30" s="13" t="s">
        <v>39</v>
      </c>
      <c r="D30" s="161">
        <f>ROUND(SUM(D29)*0.035,4)</f>
        <v>0.1067</v>
      </c>
      <c r="E30" s="9"/>
      <c r="F30" s="33"/>
      <c r="G30" s="4"/>
      <c r="H30" s="4"/>
      <c r="I30" s="4"/>
      <c r="J30" s="337"/>
      <c r="K30" s="338"/>
      <c r="L30" s="338"/>
      <c r="M30" s="338"/>
      <c r="N30" s="338"/>
      <c r="O30" s="339"/>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row>
    <row r="31" spans="1:59" s="25" customFormat="1" ht="14.25">
      <c r="A31" s="19" t="s">
        <v>1380</v>
      </c>
      <c r="B31" s="24" t="s">
        <v>323</v>
      </c>
      <c r="C31" s="13" t="s">
        <v>29</v>
      </c>
      <c r="D31" s="10">
        <f>ROUND(D23/0.2*9,0)</f>
        <v>1391</v>
      </c>
      <c r="E31" s="36"/>
      <c r="F31" s="4"/>
      <c r="G31" s="4"/>
      <c r="H31" s="4"/>
      <c r="I31" s="4"/>
      <c r="J31" s="337"/>
      <c r="K31" s="338"/>
      <c r="L31" s="338"/>
      <c r="M31" s="338"/>
      <c r="N31" s="338"/>
      <c r="O31" s="339"/>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row>
    <row r="32" spans="1:59" s="25" customFormat="1" ht="14.25">
      <c r="A32" s="106"/>
      <c r="B32" s="180" t="s">
        <v>325</v>
      </c>
      <c r="C32" s="13"/>
      <c r="D32" s="9"/>
      <c r="E32" s="33"/>
      <c r="F32" s="33"/>
      <c r="G32" s="4"/>
      <c r="H32" s="4"/>
      <c r="I32" s="4"/>
      <c r="J32" s="4"/>
      <c r="K32" s="4"/>
      <c r="L32" s="4"/>
      <c r="M32" s="4"/>
      <c r="N32" s="4"/>
      <c r="O32" s="20"/>
    </row>
    <row r="33" spans="1:59" s="25" customFormat="1" ht="24">
      <c r="A33" s="106">
        <v>6</v>
      </c>
      <c r="B33" s="2" t="s">
        <v>161</v>
      </c>
      <c r="C33" s="13" t="s">
        <v>26</v>
      </c>
      <c r="D33" s="9">
        <f>38.8+25.48+9.14+9.14</f>
        <v>82.56</v>
      </c>
      <c r="E33" s="9"/>
      <c r="F33" s="4"/>
      <c r="G33" s="4"/>
      <c r="H33" s="34"/>
      <c r="I33" s="4"/>
      <c r="J33" s="337"/>
      <c r="K33" s="338"/>
      <c r="L33" s="338"/>
      <c r="M33" s="338"/>
      <c r="N33" s="338"/>
      <c r="O33" s="339"/>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row>
    <row r="34" spans="1:59" s="25" customFormat="1" ht="14.25">
      <c r="A34" s="19" t="s">
        <v>1382</v>
      </c>
      <c r="B34" s="24" t="s">
        <v>211</v>
      </c>
      <c r="C34" s="13" t="s">
        <v>26</v>
      </c>
      <c r="D34" s="9">
        <f>D33</f>
        <v>82.56</v>
      </c>
      <c r="E34" s="9"/>
      <c r="F34" s="33"/>
      <c r="G34" s="4"/>
      <c r="H34" s="4"/>
      <c r="I34" s="4"/>
      <c r="J34" s="337"/>
      <c r="K34" s="338"/>
      <c r="L34" s="338"/>
      <c r="M34" s="338"/>
      <c r="N34" s="338"/>
      <c r="O34" s="339"/>
    </row>
    <row r="35" spans="1:59" s="25" customFormat="1" ht="14.25">
      <c r="A35" s="19" t="s">
        <v>1383</v>
      </c>
      <c r="B35" s="24" t="s">
        <v>176</v>
      </c>
      <c r="C35" s="13" t="s">
        <v>83</v>
      </c>
      <c r="D35" s="14">
        <f>ROUND(D33/0.2/0.185/0.49*1.8,2)</f>
        <v>8196.7999999999993</v>
      </c>
      <c r="E35" s="36"/>
      <c r="F35" s="36"/>
      <c r="G35" s="4"/>
      <c r="H35" s="4"/>
      <c r="I35" s="4"/>
      <c r="J35" s="337"/>
      <c r="K35" s="338"/>
      <c r="L35" s="338"/>
      <c r="M35" s="338"/>
      <c r="N35" s="338"/>
      <c r="O35" s="339"/>
    </row>
    <row r="36" spans="1:59" s="25" customFormat="1" ht="14.25">
      <c r="A36" s="19" t="s">
        <v>1384</v>
      </c>
      <c r="B36" s="24" t="s">
        <v>177</v>
      </c>
      <c r="C36" s="13" t="s">
        <v>42</v>
      </c>
      <c r="D36" s="14">
        <f>ROUND(D33*6,2)</f>
        <v>495.36</v>
      </c>
      <c r="E36" s="36"/>
      <c r="F36" s="36"/>
      <c r="G36" s="4"/>
      <c r="H36" s="4"/>
      <c r="I36" s="4"/>
      <c r="J36" s="337"/>
      <c r="K36" s="338"/>
      <c r="L36" s="338"/>
      <c r="M36" s="338"/>
      <c r="N36" s="338"/>
      <c r="O36" s="339"/>
    </row>
    <row r="37" spans="1:59" s="25" customFormat="1" ht="14.25">
      <c r="A37" s="106">
        <v>7</v>
      </c>
      <c r="B37" s="2" t="s">
        <v>370</v>
      </c>
      <c r="C37" s="226" t="s">
        <v>42</v>
      </c>
      <c r="D37" s="9">
        <v>15</v>
      </c>
      <c r="E37" s="9"/>
      <c r="F37" s="4"/>
      <c r="G37" s="4"/>
      <c r="H37" s="34"/>
      <c r="I37" s="4"/>
      <c r="J37" s="337"/>
      <c r="K37" s="338"/>
      <c r="L37" s="338"/>
      <c r="M37" s="338"/>
      <c r="N37" s="338"/>
      <c r="O37" s="339"/>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row>
    <row r="38" spans="1:59" s="25" customFormat="1" ht="14.25">
      <c r="A38" s="19" t="s">
        <v>268</v>
      </c>
      <c r="B38" s="118" t="s">
        <v>339</v>
      </c>
      <c r="C38" s="226" t="s">
        <v>26</v>
      </c>
      <c r="D38" s="9">
        <f>ROUND(0.9*1.02,2)</f>
        <v>0.92</v>
      </c>
      <c r="E38" s="4"/>
      <c r="F38" s="33"/>
      <c r="G38" s="33"/>
      <c r="H38" s="4"/>
      <c r="I38" s="33"/>
      <c r="J38" s="337"/>
      <c r="K38" s="338"/>
      <c r="L38" s="338"/>
      <c r="M38" s="338"/>
      <c r="N38" s="338"/>
      <c r="O38" s="339"/>
    </row>
    <row r="39" spans="1:59" s="25" customFormat="1" ht="14.25">
      <c r="A39" s="19" t="s">
        <v>269</v>
      </c>
      <c r="B39" s="21" t="s">
        <v>318</v>
      </c>
      <c r="C39" s="13" t="s">
        <v>30</v>
      </c>
      <c r="D39" s="10">
        <v>1</v>
      </c>
      <c r="E39" s="9"/>
      <c r="F39" s="33"/>
      <c r="G39" s="4"/>
      <c r="H39" s="129"/>
      <c r="I39" s="4"/>
      <c r="J39" s="337"/>
      <c r="K39" s="338"/>
      <c r="L39" s="338"/>
      <c r="M39" s="338"/>
      <c r="N39" s="338"/>
      <c r="O39" s="339"/>
    </row>
    <row r="40" spans="1:59" s="25" customFormat="1" ht="14.25">
      <c r="A40" s="19" t="s">
        <v>270</v>
      </c>
      <c r="B40" s="21" t="s">
        <v>319</v>
      </c>
      <c r="C40" s="13" t="s">
        <v>30</v>
      </c>
      <c r="D40" s="10">
        <v>1</v>
      </c>
      <c r="E40" s="9"/>
      <c r="F40" s="33"/>
      <c r="G40" s="4"/>
      <c r="H40" s="4"/>
      <c r="I40" s="4"/>
      <c r="J40" s="337"/>
      <c r="K40" s="338"/>
      <c r="L40" s="338"/>
      <c r="M40" s="338"/>
      <c r="N40" s="338"/>
      <c r="O40" s="339"/>
    </row>
    <row r="41" spans="1:59" s="25" customFormat="1" ht="14.25">
      <c r="A41" s="19" t="s">
        <v>271</v>
      </c>
      <c r="B41" s="118" t="s">
        <v>320</v>
      </c>
      <c r="C41" s="226" t="s">
        <v>321</v>
      </c>
      <c r="D41" s="140">
        <f>ROUND(D37/14,2)</f>
        <v>1.07</v>
      </c>
      <c r="E41" s="4"/>
      <c r="F41" s="33"/>
      <c r="G41" s="33"/>
      <c r="H41" s="4"/>
      <c r="I41" s="33"/>
      <c r="J41" s="337"/>
      <c r="K41" s="338"/>
      <c r="L41" s="338"/>
      <c r="M41" s="338"/>
      <c r="N41" s="338"/>
      <c r="O41" s="339"/>
    </row>
    <row r="42" spans="1:59">
      <c r="A42" s="106">
        <v>8</v>
      </c>
      <c r="B42" s="158" t="s">
        <v>371</v>
      </c>
      <c r="C42" s="13" t="s">
        <v>39</v>
      </c>
      <c r="D42" s="289">
        <v>0.12429999999999999</v>
      </c>
      <c r="E42" s="33"/>
      <c r="F42" s="4"/>
      <c r="G42" s="4"/>
      <c r="H42" s="33"/>
      <c r="I42" s="4"/>
      <c r="J42" s="337"/>
      <c r="K42" s="338"/>
      <c r="L42" s="338"/>
      <c r="M42" s="338"/>
      <c r="N42" s="338"/>
      <c r="O42" s="339"/>
    </row>
    <row r="43" spans="1:59" s="25" customFormat="1" ht="14.25">
      <c r="A43" s="19" t="s">
        <v>1474</v>
      </c>
      <c r="B43" s="21" t="s">
        <v>322</v>
      </c>
      <c r="C43" s="13" t="s">
        <v>39</v>
      </c>
      <c r="D43" s="161">
        <f>ROUND(D42*1.1,4)</f>
        <v>0.13669999999999999</v>
      </c>
      <c r="E43" s="11"/>
      <c r="F43" s="33"/>
      <c r="G43" s="4"/>
      <c r="H43" s="11"/>
      <c r="I43" s="4"/>
      <c r="J43" s="337"/>
      <c r="K43" s="338"/>
      <c r="L43" s="338"/>
      <c r="M43" s="338"/>
      <c r="N43" s="338"/>
      <c r="O43" s="339"/>
    </row>
    <row r="44" spans="1:59" s="25" customFormat="1" ht="12" customHeight="1">
      <c r="A44" s="19" t="s">
        <v>1475</v>
      </c>
      <c r="B44" s="21" t="s">
        <v>178</v>
      </c>
      <c r="C44" s="13" t="s">
        <v>39</v>
      </c>
      <c r="D44" s="161">
        <f>ROUND(SUM(D43)*0.035,4)</f>
        <v>4.7999999999999996E-3</v>
      </c>
      <c r="E44" s="9"/>
      <c r="F44" s="33"/>
      <c r="G44" s="4"/>
      <c r="H44" s="4"/>
      <c r="I44" s="4"/>
      <c r="J44" s="337"/>
      <c r="K44" s="338"/>
      <c r="L44" s="338"/>
      <c r="M44" s="338"/>
      <c r="N44" s="338"/>
      <c r="O44" s="339"/>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row>
    <row r="45" spans="1:59" s="25" customFormat="1" ht="14.25">
      <c r="A45" s="19" t="s">
        <v>1476</v>
      </c>
      <c r="B45" s="24" t="s">
        <v>323</v>
      </c>
      <c r="C45" s="13" t="s">
        <v>29</v>
      </c>
      <c r="D45" s="10">
        <f>ROUND(D38/0.2*9,0)</f>
        <v>41</v>
      </c>
      <c r="E45" s="36"/>
      <c r="F45" s="4"/>
      <c r="G45" s="4"/>
      <c r="H45" s="4"/>
      <c r="I45" s="4"/>
      <c r="J45" s="337"/>
      <c r="K45" s="338"/>
      <c r="L45" s="338"/>
      <c r="M45" s="338"/>
      <c r="N45" s="338"/>
      <c r="O45" s="339"/>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row>
    <row r="46" spans="1:59" s="25" customFormat="1" ht="24">
      <c r="A46" s="106">
        <v>9</v>
      </c>
      <c r="B46" s="2" t="s">
        <v>1152</v>
      </c>
      <c r="C46" s="226" t="s">
        <v>42</v>
      </c>
      <c r="D46" s="9">
        <v>36</v>
      </c>
      <c r="E46" s="9"/>
      <c r="F46" s="4"/>
      <c r="G46" s="4"/>
      <c r="H46" s="34"/>
      <c r="I46" s="4"/>
      <c r="J46" s="337"/>
      <c r="K46" s="338"/>
      <c r="L46" s="338"/>
      <c r="M46" s="338"/>
      <c r="N46" s="338"/>
      <c r="O46" s="339"/>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row>
    <row r="47" spans="1:59" s="25" customFormat="1" ht="14.25">
      <c r="A47" s="19" t="s">
        <v>1386</v>
      </c>
      <c r="B47" s="118" t="s">
        <v>345</v>
      </c>
      <c r="C47" s="226" t="s">
        <v>26</v>
      </c>
      <c r="D47" s="9">
        <f>ROUND(2*1.02,2)</f>
        <v>2.04</v>
      </c>
      <c r="E47" s="4"/>
      <c r="F47" s="33"/>
      <c r="G47" s="33"/>
      <c r="H47" s="4"/>
      <c r="I47" s="33"/>
      <c r="J47" s="337"/>
      <c r="K47" s="338"/>
      <c r="L47" s="338"/>
      <c r="M47" s="338"/>
      <c r="N47" s="338"/>
      <c r="O47" s="339"/>
    </row>
    <row r="48" spans="1:59" s="25" customFormat="1" ht="14.25">
      <c r="A48" s="19" t="s">
        <v>1387</v>
      </c>
      <c r="B48" s="21" t="s">
        <v>318</v>
      </c>
      <c r="C48" s="13" t="s">
        <v>30</v>
      </c>
      <c r="D48" s="10">
        <v>1</v>
      </c>
      <c r="E48" s="9"/>
      <c r="F48" s="33"/>
      <c r="G48" s="4"/>
      <c r="H48" s="129"/>
      <c r="I48" s="4"/>
      <c r="J48" s="337"/>
      <c r="K48" s="338"/>
      <c r="L48" s="338"/>
      <c r="M48" s="338"/>
      <c r="N48" s="338"/>
      <c r="O48" s="339"/>
    </row>
    <row r="49" spans="1:59" s="25" customFormat="1" ht="14.25">
      <c r="A49" s="19" t="s">
        <v>1388</v>
      </c>
      <c r="B49" s="21" t="s">
        <v>319</v>
      </c>
      <c r="C49" s="13" t="s">
        <v>30</v>
      </c>
      <c r="D49" s="10">
        <v>1</v>
      </c>
      <c r="E49" s="9"/>
      <c r="F49" s="33"/>
      <c r="G49" s="4"/>
      <c r="H49" s="4"/>
      <c r="I49" s="4"/>
      <c r="J49" s="337"/>
      <c r="K49" s="338"/>
      <c r="L49" s="338"/>
      <c r="M49" s="338"/>
      <c r="N49" s="338"/>
      <c r="O49" s="339"/>
    </row>
    <row r="50" spans="1:59" s="25" customFormat="1" ht="14.25">
      <c r="A50" s="19" t="s">
        <v>1389</v>
      </c>
      <c r="B50" s="118" t="s">
        <v>320</v>
      </c>
      <c r="C50" s="226" t="s">
        <v>321</v>
      </c>
      <c r="D50" s="140">
        <f>ROUND(D46/14,2)</f>
        <v>2.57</v>
      </c>
      <c r="E50" s="4"/>
      <c r="F50" s="33"/>
      <c r="G50" s="33"/>
      <c r="H50" s="4"/>
      <c r="I50" s="33"/>
      <c r="J50" s="337"/>
      <c r="K50" s="338"/>
      <c r="L50" s="338"/>
      <c r="M50" s="338"/>
      <c r="N50" s="338"/>
      <c r="O50" s="339"/>
    </row>
    <row r="51" spans="1:59" ht="24">
      <c r="A51" s="106">
        <v>10</v>
      </c>
      <c r="B51" s="158" t="s">
        <v>1153</v>
      </c>
      <c r="C51" s="13" t="s">
        <v>39</v>
      </c>
      <c r="D51" s="289">
        <v>0.373</v>
      </c>
      <c r="E51" s="33"/>
      <c r="F51" s="4"/>
      <c r="G51" s="4"/>
      <c r="H51" s="33"/>
      <c r="I51" s="4"/>
      <c r="J51" s="337"/>
      <c r="K51" s="338"/>
      <c r="L51" s="338"/>
      <c r="M51" s="338"/>
      <c r="N51" s="338"/>
      <c r="O51" s="339"/>
    </row>
    <row r="52" spans="1:59" s="25" customFormat="1" ht="14.25">
      <c r="A52" s="19" t="s">
        <v>1390</v>
      </c>
      <c r="B52" s="21" t="s">
        <v>322</v>
      </c>
      <c r="C52" s="13" t="s">
        <v>39</v>
      </c>
      <c r="D52" s="161">
        <f>ROUND(D51*1.1,4)</f>
        <v>0.4103</v>
      </c>
      <c r="E52" s="11"/>
      <c r="F52" s="33"/>
      <c r="G52" s="4"/>
      <c r="H52" s="11"/>
      <c r="I52" s="4"/>
      <c r="J52" s="337"/>
      <c r="K52" s="338"/>
      <c r="L52" s="338"/>
      <c r="M52" s="338"/>
      <c r="N52" s="338"/>
      <c r="O52" s="339"/>
    </row>
    <row r="53" spans="1:59" s="25" customFormat="1" ht="12" customHeight="1">
      <c r="A53" s="19" t="s">
        <v>1391</v>
      </c>
      <c r="B53" s="21" t="s">
        <v>178</v>
      </c>
      <c r="C53" s="13" t="s">
        <v>39</v>
      </c>
      <c r="D53" s="161">
        <f>ROUND(SUM(D52)*0.035,4)</f>
        <v>1.44E-2</v>
      </c>
      <c r="E53" s="9"/>
      <c r="F53" s="33"/>
      <c r="G53" s="4"/>
      <c r="H53" s="4"/>
      <c r="I53" s="4"/>
      <c r="J53" s="337"/>
      <c r="K53" s="338"/>
      <c r="L53" s="338"/>
      <c r="M53" s="338"/>
      <c r="N53" s="338"/>
      <c r="O53" s="339"/>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row>
    <row r="54" spans="1:59" s="25" customFormat="1" ht="14.25">
      <c r="A54" s="19" t="s">
        <v>1392</v>
      </c>
      <c r="B54" s="24" t="s">
        <v>323</v>
      </c>
      <c r="C54" s="13" t="s">
        <v>29</v>
      </c>
      <c r="D54" s="10">
        <f>ROUND(D47/0.2*9,0)</f>
        <v>92</v>
      </c>
      <c r="E54" s="36"/>
      <c r="F54" s="4"/>
      <c r="G54" s="4"/>
      <c r="H54" s="4"/>
      <c r="I54" s="4"/>
      <c r="J54" s="337"/>
      <c r="K54" s="338"/>
      <c r="L54" s="338"/>
      <c r="M54" s="338"/>
      <c r="N54" s="338"/>
      <c r="O54" s="339"/>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row>
    <row r="55" spans="1:59" s="25" customFormat="1" ht="14.25">
      <c r="A55" s="106">
        <v>11</v>
      </c>
      <c r="B55" s="2" t="s">
        <v>148</v>
      </c>
      <c r="C55" s="13" t="s">
        <v>14</v>
      </c>
      <c r="D55" s="9">
        <f>D33/0.2*2</f>
        <v>825.6</v>
      </c>
      <c r="E55" s="33"/>
      <c r="F55" s="4"/>
      <c r="G55" s="4"/>
      <c r="H55" s="34"/>
      <c r="I55" s="4"/>
      <c r="J55" s="337"/>
      <c r="K55" s="338"/>
      <c r="L55" s="338"/>
      <c r="M55" s="338"/>
      <c r="N55" s="338"/>
      <c r="O55" s="339"/>
    </row>
    <row r="56" spans="1:59" ht="12" customHeight="1">
      <c r="A56" s="19" t="s">
        <v>1393</v>
      </c>
      <c r="B56" s="24" t="s">
        <v>94</v>
      </c>
      <c r="C56" s="13" t="s">
        <v>95</v>
      </c>
      <c r="D56" s="9">
        <f>ROUND(D55*10.5/30,2)</f>
        <v>288.95999999999998</v>
      </c>
      <c r="E56" s="153"/>
      <c r="F56" s="153"/>
      <c r="G56" s="33"/>
      <c r="H56" s="11"/>
      <c r="I56" s="4"/>
      <c r="J56" s="337"/>
      <c r="K56" s="338"/>
      <c r="L56" s="338"/>
      <c r="M56" s="338"/>
      <c r="N56" s="338"/>
      <c r="O56" s="339"/>
    </row>
    <row r="57" spans="1:59" s="25" customFormat="1" ht="14.25">
      <c r="A57" s="106"/>
      <c r="B57" s="180" t="s">
        <v>326</v>
      </c>
      <c r="C57" s="111" t="s">
        <v>14</v>
      </c>
      <c r="D57" s="120"/>
      <c r="E57" s="33"/>
      <c r="F57" s="33"/>
      <c r="G57" s="4"/>
      <c r="H57" s="4"/>
      <c r="I57" s="4"/>
      <c r="J57" s="4"/>
      <c r="K57" s="4"/>
      <c r="L57" s="4"/>
      <c r="M57" s="4"/>
      <c r="N57" s="4"/>
      <c r="O57" s="20"/>
    </row>
    <row r="58" spans="1:59" s="102" customFormat="1" ht="24">
      <c r="A58" s="106">
        <v>12</v>
      </c>
      <c r="B58" s="2" t="s">
        <v>231</v>
      </c>
      <c r="C58" s="111" t="s">
        <v>14</v>
      </c>
      <c r="D58" s="120">
        <v>1102.5</v>
      </c>
      <c r="E58" s="153"/>
      <c r="F58" s="4"/>
      <c r="G58" s="4"/>
      <c r="H58" s="4"/>
      <c r="I58" s="16"/>
      <c r="J58" s="337"/>
      <c r="K58" s="338"/>
      <c r="L58" s="338"/>
      <c r="M58" s="338"/>
      <c r="N58" s="338"/>
      <c r="O58" s="339"/>
    </row>
    <row r="59" spans="1:59" s="25" customFormat="1" ht="24" customHeight="1">
      <c r="A59" s="19" t="s">
        <v>1397</v>
      </c>
      <c r="B59" s="21" t="s">
        <v>159</v>
      </c>
      <c r="C59" s="13" t="s">
        <v>30</v>
      </c>
      <c r="D59" s="10">
        <v>1</v>
      </c>
      <c r="E59" s="36"/>
      <c r="F59" s="36"/>
      <c r="G59" s="33"/>
      <c r="H59" s="4"/>
      <c r="I59" s="4"/>
      <c r="J59" s="337"/>
      <c r="K59" s="338"/>
      <c r="L59" s="338"/>
      <c r="M59" s="338"/>
      <c r="N59" s="338"/>
      <c r="O59" s="339"/>
    </row>
    <row r="60" spans="1:59" s="102" customFormat="1" ht="24">
      <c r="A60" s="106">
        <v>13</v>
      </c>
      <c r="B60" s="2" t="s">
        <v>232</v>
      </c>
      <c r="C60" s="111" t="s">
        <v>14</v>
      </c>
      <c r="D60" s="120">
        <v>224.9</v>
      </c>
      <c r="E60" s="153"/>
      <c r="F60" s="4"/>
      <c r="G60" s="4"/>
      <c r="H60" s="4"/>
      <c r="I60" s="16"/>
      <c r="J60" s="337"/>
      <c r="K60" s="338"/>
      <c r="L60" s="338"/>
      <c r="M60" s="338"/>
      <c r="N60" s="338"/>
      <c r="O60" s="339"/>
    </row>
    <row r="61" spans="1:59" s="25" customFormat="1" ht="24" customHeight="1">
      <c r="A61" s="19" t="s">
        <v>1365</v>
      </c>
      <c r="B61" s="21" t="s">
        <v>159</v>
      </c>
      <c r="C61" s="13" t="s">
        <v>30</v>
      </c>
      <c r="D61" s="10">
        <v>1</v>
      </c>
      <c r="E61" s="36"/>
      <c r="F61" s="36"/>
      <c r="G61" s="33"/>
      <c r="H61" s="4"/>
      <c r="I61" s="4"/>
      <c r="J61" s="337"/>
      <c r="K61" s="338"/>
      <c r="L61" s="338"/>
      <c r="M61" s="338"/>
      <c r="N61" s="338"/>
      <c r="O61" s="339"/>
    </row>
    <row r="62" spans="1:59" s="28" customFormat="1">
      <c r="A62" s="106">
        <v>14</v>
      </c>
      <c r="B62" s="291" t="s">
        <v>382</v>
      </c>
      <c r="C62" s="292" t="s">
        <v>14</v>
      </c>
      <c r="D62" s="293">
        <v>130.80000000000001</v>
      </c>
      <c r="E62" s="33"/>
      <c r="F62" s="33"/>
      <c r="G62" s="4"/>
      <c r="H62" s="4"/>
      <c r="I62" s="4"/>
      <c r="J62" s="337"/>
      <c r="K62" s="338"/>
      <c r="L62" s="338"/>
      <c r="M62" s="338"/>
      <c r="N62" s="338"/>
      <c r="O62" s="339"/>
    </row>
    <row r="63" spans="1:59" s="28" customFormat="1">
      <c r="A63" s="19" t="s">
        <v>1402</v>
      </c>
      <c r="B63" s="101" t="s">
        <v>1144</v>
      </c>
      <c r="C63" s="17" t="s">
        <v>14</v>
      </c>
      <c r="D63" s="254">
        <f>ROUND(D62*1.05,2)</f>
        <v>137.34</v>
      </c>
      <c r="E63" s="40"/>
      <c r="F63" s="40"/>
      <c r="G63" s="16"/>
      <c r="H63" s="134"/>
      <c r="I63" s="4"/>
      <c r="J63" s="337"/>
      <c r="K63" s="338"/>
      <c r="L63" s="338"/>
      <c r="M63" s="338"/>
      <c r="N63" s="338"/>
      <c r="O63" s="339"/>
    </row>
    <row r="64" spans="1:59" s="133" customFormat="1">
      <c r="A64" s="19" t="s">
        <v>1403</v>
      </c>
      <c r="B64" s="295" t="s">
        <v>373</v>
      </c>
      <c r="C64" s="292" t="s">
        <v>38</v>
      </c>
      <c r="D64" s="293">
        <f>ROUND(D62*4,2)</f>
        <v>523.20000000000005</v>
      </c>
      <c r="E64" s="4"/>
      <c r="F64" s="4"/>
      <c r="G64" s="112"/>
      <c r="H64" s="112"/>
      <c r="I64" s="112"/>
      <c r="J64" s="337"/>
      <c r="K64" s="338"/>
      <c r="L64" s="338"/>
      <c r="M64" s="338"/>
      <c r="N64" s="338"/>
      <c r="O64" s="339"/>
      <c r="P64" s="164"/>
    </row>
    <row r="65" spans="1:59" s="26" customFormat="1" ht="24">
      <c r="A65" s="19" t="s">
        <v>1404</v>
      </c>
      <c r="B65" s="296" t="s">
        <v>374</v>
      </c>
      <c r="C65" s="292" t="s">
        <v>29</v>
      </c>
      <c r="D65" s="175">
        <f>ROUND(D62*5,0)</f>
        <v>654</v>
      </c>
      <c r="E65" s="33"/>
      <c r="F65" s="33"/>
      <c r="G65" s="33"/>
      <c r="H65" s="4"/>
      <c r="I65" s="4"/>
      <c r="J65" s="337"/>
      <c r="K65" s="338"/>
      <c r="L65" s="338"/>
      <c r="M65" s="338"/>
      <c r="N65" s="338"/>
      <c r="O65" s="339"/>
    </row>
    <row r="66" spans="1:59" s="26" customFormat="1" ht="36">
      <c r="A66" s="106">
        <v>15</v>
      </c>
      <c r="B66" s="2" t="s">
        <v>1149</v>
      </c>
      <c r="C66" s="13" t="s">
        <v>14</v>
      </c>
      <c r="D66" s="9">
        <f>D62</f>
        <v>130.80000000000001</v>
      </c>
      <c r="E66" s="4"/>
      <c r="F66" s="33"/>
      <c r="G66" s="4"/>
      <c r="H66" s="112"/>
      <c r="I66" s="4"/>
      <c r="J66" s="337"/>
      <c r="K66" s="338"/>
      <c r="L66" s="338"/>
      <c r="M66" s="338"/>
      <c r="N66" s="338"/>
      <c r="O66" s="339"/>
    </row>
    <row r="67" spans="1:59" s="26" customFormat="1" ht="24">
      <c r="A67" s="19" t="s">
        <v>1368</v>
      </c>
      <c r="B67" s="297" t="s">
        <v>375</v>
      </c>
      <c r="C67" s="13" t="s">
        <v>14</v>
      </c>
      <c r="D67" s="9">
        <f>ROUND(D66*1.15,2)</f>
        <v>150.41999999999999</v>
      </c>
      <c r="E67" s="298"/>
      <c r="F67" s="298"/>
      <c r="G67" s="299"/>
      <c r="H67" s="112"/>
      <c r="I67" s="299"/>
      <c r="J67" s="337"/>
      <c r="K67" s="338"/>
      <c r="L67" s="338"/>
      <c r="M67" s="338"/>
      <c r="N67" s="338"/>
      <c r="O67" s="339"/>
    </row>
    <row r="68" spans="1:59" s="26" customFormat="1" ht="14.25">
      <c r="A68" s="19" t="s">
        <v>1435</v>
      </c>
      <c r="B68" s="297" t="s">
        <v>376</v>
      </c>
      <c r="C68" s="13" t="s">
        <v>29</v>
      </c>
      <c r="D68" s="10">
        <f>ROUND(D66*5/25,0)</f>
        <v>26</v>
      </c>
      <c r="E68" s="298"/>
      <c r="F68" s="298"/>
      <c r="G68" s="299"/>
      <c r="H68" s="4"/>
      <c r="I68" s="299"/>
      <c r="J68" s="337"/>
      <c r="K68" s="338"/>
      <c r="L68" s="338"/>
      <c r="M68" s="338"/>
      <c r="N68" s="338"/>
      <c r="O68" s="339"/>
    </row>
    <row r="69" spans="1:59" s="26" customFormat="1" ht="14.25">
      <c r="A69" s="19" t="s">
        <v>1436</v>
      </c>
      <c r="B69" s="300" t="s">
        <v>377</v>
      </c>
      <c r="C69" s="292" t="s">
        <v>30</v>
      </c>
      <c r="D69" s="12">
        <v>1</v>
      </c>
      <c r="E69" s="301"/>
      <c r="F69" s="301"/>
      <c r="G69" s="302"/>
      <c r="H69" s="303"/>
      <c r="I69" s="302"/>
      <c r="J69" s="337"/>
      <c r="K69" s="338"/>
      <c r="L69" s="338"/>
      <c r="M69" s="338"/>
      <c r="N69" s="338"/>
      <c r="O69" s="339"/>
    </row>
    <row r="70" spans="1:59" s="133" customFormat="1">
      <c r="A70" s="106">
        <v>16</v>
      </c>
      <c r="B70" s="2" t="s">
        <v>1148</v>
      </c>
      <c r="C70" s="13" t="s">
        <v>14</v>
      </c>
      <c r="D70" s="9">
        <v>70</v>
      </c>
      <c r="E70" s="33"/>
      <c r="F70" s="33"/>
      <c r="G70" s="4"/>
      <c r="H70" s="33"/>
      <c r="I70" s="33"/>
      <c r="J70" s="337"/>
      <c r="K70" s="338"/>
      <c r="L70" s="338"/>
      <c r="M70" s="338"/>
      <c r="N70" s="338"/>
      <c r="O70" s="339"/>
      <c r="P70" s="164"/>
    </row>
    <row r="71" spans="1:59" s="133" customFormat="1">
      <c r="A71" s="19" t="s">
        <v>1405</v>
      </c>
      <c r="B71" s="294" t="s">
        <v>378</v>
      </c>
      <c r="C71" s="304" t="s">
        <v>40</v>
      </c>
      <c r="D71" s="305">
        <f>ROUND(D70*0.25,2)</f>
        <v>17.5</v>
      </c>
      <c r="E71" s="5"/>
      <c r="F71" s="4"/>
      <c r="G71" s="6"/>
      <c r="H71" s="112"/>
      <c r="I71" s="6"/>
      <c r="J71" s="337"/>
      <c r="K71" s="338"/>
      <c r="L71" s="338"/>
      <c r="M71" s="338"/>
      <c r="N71" s="338"/>
      <c r="O71" s="339"/>
      <c r="P71" s="164"/>
    </row>
    <row r="72" spans="1:59" s="133" customFormat="1">
      <c r="A72" s="106">
        <v>17</v>
      </c>
      <c r="B72" s="2" t="s">
        <v>1147</v>
      </c>
      <c r="C72" s="13" t="s">
        <v>14</v>
      </c>
      <c r="D72" s="9">
        <v>70</v>
      </c>
      <c r="E72" s="4"/>
      <c r="F72" s="33"/>
      <c r="G72" s="4"/>
      <c r="H72" s="112"/>
      <c r="I72" s="4"/>
      <c r="J72" s="337"/>
      <c r="K72" s="338"/>
      <c r="L72" s="338"/>
      <c r="M72" s="338"/>
      <c r="N72" s="338"/>
      <c r="O72" s="339"/>
      <c r="P72" s="164"/>
    </row>
    <row r="73" spans="1:59" s="133" customFormat="1" ht="24">
      <c r="A73" s="19" t="s">
        <v>1364</v>
      </c>
      <c r="B73" s="297" t="s">
        <v>379</v>
      </c>
      <c r="C73" s="292" t="s">
        <v>83</v>
      </c>
      <c r="D73" s="14">
        <f>ROUND(D72*5.1,2)</f>
        <v>357</v>
      </c>
      <c r="E73" s="298"/>
      <c r="F73" s="298"/>
      <c r="G73" s="299"/>
      <c r="H73" s="112"/>
      <c r="I73" s="299"/>
      <c r="J73" s="337"/>
      <c r="K73" s="338"/>
      <c r="L73" s="338"/>
      <c r="M73" s="338"/>
      <c r="N73" s="338"/>
      <c r="O73" s="339"/>
      <c r="P73" s="164"/>
    </row>
    <row r="74" spans="1:59" s="133" customFormat="1">
      <c r="A74" s="19" t="s">
        <v>1406</v>
      </c>
      <c r="B74" s="300" t="s">
        <v>377</v>
      </c>
      <c r="C74" s="292" t="s">
        <v>30</v>
      </c>
      <c r="D74" s="12">
        <v>1</v>
      </c>
      <c r="E74" s="301"/>
      <c r="F74" s="301"/>
      <c r="G74" s="302"/>
      <c r="H74" s="303"/>
      <c r="I74" s="302"/>
      <c r="J74" s="337"/>
      <c r="K74" s="338"/>
      <c r="L74" s="338"/>
      <c r="M74" s="338"/>
      <c r="N74" s="338"/>
      <c r="O74" s="339"/>
      <c r="P74" s="164"/>
    </row>
    <row r="75" spans="1:59" s="28" customFormat="1" ht="24">
      <c r="A75" s="106">
        <v>18</v>
      </c>
      <c r="B75" s="2" t="s">
        <v>1146</v>
      </c>
      <c r="C75" s="13" t="s">
        <v>14</v>
      </c>
      <c r="D75" s="9">
        <f>D72</f>
        <v>70</v>
      </c>
      <c r="E75" s="4"/>
      <c r="F75" s="33"/>
      <c r="G75" s="4"/>
      <c r="H75" s="112"/>
      <c r="I75" s="4"/>
      <c r="J75" s="337"/>
      <c r="K75" s="338"/>
      <c r="L75" s="338"/>
      <c r="M75" s="338"/>
      <c r="N75" s="338"/>
      <c r="O75" s="339"/>
      <c r="P75" s="131"/>
      <c r="Q75" s="131"/>
      <c r="R75" s="131"/>
    </row>
    <row r="76" spans="1:59" s="28" customFormat="1">
      <c r="A76" s="19" t="s">
        <v>1409</v>
      </c>
      <c r="B76" s="294" t="s">
        <v>380</v>
      </c>
      <c r="C76" s="304" t="s">
        <v>40</v>
      </c>
      <c r="D76" s="305">
        <f>ROUND(D75*0.175,2)</f>
        <v>12.25</v>
      </c>
      <c r="E76" s="5"/>
      <c r="F76" s="4"/>
      <c r="G76" s="6"/>
      <c r="H76" s="112"/>
      <c r="I76" s="6"/>
      <c r="J76" s="337"/>
      <c r="K76" s="338"/>
      <c r="L76" s="338"/>
      <c r="M76" s="338"/>
      <c r="N76" s="338"/>
      <c r="O76" s="339"/>
    </row>
    <row r="77" spans="1:59" s="133" customFormat="1">
      <c r="A77" s="19" t="s">
        <v>1410</v>
      </c>
      <c r="B77" s="294" t="s">
        <v>381</v>
      </c>
      <c r="C77" s="304" t="s">
        <v>40</v>
      </c>
      <c r="D77" s="7">
        <f>ROUND(D75*0.35,2)</f>
        <v>24.5</v>
      </c>
      <c r="E77" s="6"/>
      <c r="F77" s="4"/>
      <c r="G77" s="6"/>
      <c r="H77" s="112"/>
      <c r="I77" s="6"/>
      <c r="J77" s="337"/>
      <c r="K77" s="338"/>
      <c r="L77" s="338"/>
      <c r="M77" s="338"/>
      <c r="N77" s="338"/>
      <c r="O77" s="339"/>
      <c r="P77" s="164"/>
    </row>
    <row r="78" spans="1:59" s="25" customFormat="1" ht="14.25">
      <c r="A78" s="19" t="s">
        <v>1411</v>
      </c>
      <c r="B78" s="294" t="s">
        <v>110</v>
      </c>
      <c r="C78" s="304" t="s">
        <v>40</v>
      </c>
      <c r="D78" s="305">
        <f>D77</f>
        <v>24.5</v>
      </c>
      <c r="E78" s="6"/>
      <c r="F78" s="4"/>
      <c r="G78" s="6"/>
      <c r="H78" s="6"/>
      <c r="I78" s="6"/>
      <c r="J78" s="337"/>
      <c r="K78" s="338"/>
      <c r="L78" s="338"/>
      <c r="M78" s="338"/>
      <c r="N78" s="338"/>
      <c r="O78" s="339"/>
    </row>
    <row r="79" spans="1:59" s="25" customFormat="1" ht="14.25">
      <c r="A79" s="106"/>
      <c r="B79" s="180" t="s">
        <v>327</v>
      </c>
      <c r="C79" s="111" t="s">
        <v>14</v>
      </c>
      <c r="D79" s="120"/>
      <c r="E79" s="33"/>
      <c r="F79" s="33"/>
      <c r="G79" s="4"/>
      <c r="H79" s="4"/>
      <c r="I79" s="4"/>
      <c r="J79" s="4"/>
      <c r="K79" s="4"/>
      <c r="L79" s="4"/>
      <c r="M79" s="4"/>
      <c r="N79" s="4"/>
      <c r="O79" s="20"/>
    </row>
    <row r="80" spans="1:59" s="190" customFormat="1" ht="24">
      <c r="A80" s="106">
        <v>19</v>
      </c>
      <c r="B80" s="185" t="s">
        <v>213</v>
      </c>
      <c r="C80" s="111" t="s">
        <v>14</v>
      </c>
      <c r="D80" s="186">
        <v>162.81</v>
      </c>
      <c r="E80" s="187"/>
      <c r="F80" s="4"/>
      <c r="G80" s="4"/>
      <c r="H80" s="188"/>
      <c r="I80" s="188"/>
      <c r="J80" s="337"/>
      <c r="K80" s="338"/>
      <c r="L80" s="338"/>
      <c r="M80" s="338"/>
      <c r="N80" s="338"/>
      <c r="O80" s="33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89"/>
      <c r="BB80" s="189"/>
      <c r="BC80" s="189"/>
      <c r="BD80" s="189"/>
      <c r="BE80" s="189"/>
      <c r="BF80" s="189"/>
      <c r="BG80" s="189"/>
    </row>
    <row r="81" spans="1:59" s="190" customFormat="1" ht="14.25">
      <c r="A81" s="19" t="s">
        <v>1414</v>
      </c>
      <c r="B81" s="191" t="s">
        <v>372</v>
      </c>
      <c r="C81" s="111" t="s">
        <v>14</v>
      </c>
      <c r="D81" s="186">
        <f>D80</f>
        <v>162.81</v>
      </c>
      <c r="E81" s="187"/>
      <c r="F81" s="187"/>
      <c r="G81" s="188"/>
      <c r="H81" s="188"/>
      <c r="I81" s="188"/>
      <c r="J81" s="337"/>
      <c r="K81" s="338"/>
      <c r="L81" s="338"/>
      <c r="M81" s="338"/>
      <c r="N81" s="338"/>
      <c r="O81" s="33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row>
    <row r="82" spans="1:59" s="25" customFormat="1" ht="14.25">
      <c r="A82" s="19" t="s">
        <v>1415</v>
      </c>
      <c r="B82" s="121" t="s">
        <v>33</v>
      </c>
      <c r="C82" s="17" t="s">
        <v>34</v>
      </c>
      <c r="D82" s="14">
        <f>ROUND(D80/100*36.4/8,1)</f>
        <v>7.4</v>
      </c>
      <c r="E82" s="40"/>
      <c r="F82" s="40"/>
      <c r="G82" s="16"/>
      <c r="H82" s="16"/>
      <c r="I82" s="16"/>
      <c r="J82" s="337"/>
      <c r="K82" s="338"/>
      <c r="L82" s="338"/>
      <c r="M82" s="338"/>
      <c r="N82" s="338"/>
      <c r="O82" s="339"/>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row>
    <row r="83" spans="1:59" s="102" customFormat="1" ht="24">
      <c r="A83" s="106">
        <v>20</v>
      </c>
      <c r="B83" s="2" t="s">
        <v>1158</v>
      </c>
      <c r="C83" s="111" t="s">
        <v>14</v>
      </c>
      <c r="D83" s="120">
        <v>17.8</v>
      </c>
      <c r="E83" s="153"/>
      <c r="F83" s="4"/>
      <c r="G83" s="4"/>
      <c r="H83" s="4"/>
      <c r="I83" s="16"/>
      <c r="J83" s="337"/>
      <c r="K83" s="338"/>
      <c r="L83" s="338"/>
      <c r="M83" s="338"/>
      <c r="N83" s="338"/>
      <c r="O83" s="339"/>
    </row>
    <row r="84" spans="1:59" s="25" customFormat="1" ht="24" customHeight="1">
      <c r="A84" s="19" t="s">
        <v>1417</v>
      </c>
      <c r="B84" s="21" t="s">
        <v>159</v>
      </c>
      <c r="C84" s="13" t="s">
        <v>30</v>
      </c>
      <c r="D84" s="10">
        <v>1</v>
      </c>
      <c r="E84" s="36"/>
      <c r="F84" s="36"/>
      <c r="G84" s="33"/>
      <c r="H84" s="4"/>
      <c r="I84" s="4"/>
      <c r="J84" s="337"/>
      <c r="K84" s="338"/>
      <c r="L84" s="338"/>
      <c r="M84" s="338"/>
      <c r="N84" s="338"/>
      <c r="O84" s="339"/>
    </row>
    <row r="85" spans="1:59" s="25" customFormat="1" ht="14.25">
      <c r="A85" s="106"/>
      <c r="B85" s="180" t="s">
        <v>331</v>
      </c>
      <c r="C85" s="111" t="s">
        <v>14</v>
      </c>
      <c r="D85" s="120"/>
      <c r="E85" s="33"/>
      <c r="F85" s="33"/>
      <c r="G85" s="4"/>
      <c r="H85" s="4"/>
      <c r="I85" s="4"/>
      <c r="J85" s="4"/>
      <c r="K85" s="4"/>
      <c r="L85" s="4"/>
      <c r="M85" s="4"/>
      <c r="N85" s="4"/>
      <c r="O85" s="20"/>
    </row>
    <row r="86" spans="1:59" s="270" customFormat="1">
      <c r="A86" s="106">
        <v>21</v>
      </c>
      <c r="B86" s="263" t="s">
        <v>329</v>
      </c>
      <c r="C86" s="264" t="s">
        <v>29</v>
      </c>
      <c r="D86" s="265">
        <f>SUM(D87:D87)</f>
        <v>2</v>
      </c>
      <c r="E86" s="266"/>
      <c r="F86" s="33"/>
      <c r="G86" s="4"/>
      <c r="H86" s="267"/>
      <c r="I86" s="268"/>
      <c r="J86" s="337"/>
      <c r="K86" s="338"/>
      <c r="L86" s="338"/>
      <c r="M86" s="338"/>
      <c r="N86" s="338"/>
      <c r="O86" s="339"/>
    </row>
    <row r="87" spans="1:59" s="275" customFormat="1" ht="12" customHeight="1">
      <c r="A87" s="19" t="s">
        <v>1418</v>
      </c>
      <c r="B87" s="271" t="s">
        <v>1150</v>
      </c>
      <c r="C87" s="272" t="s">
        <v>29</v>
      </c>
      <c r="D87" s="265">
        <v>2</v>
      </c>
      <c r="E87" s="273"/>
      <c r="F87" s="273"/>
      <c r="G87" s="269"/>
      <c r="H87" s="274"/>
      <c r="I87" s="268"/>
      <c r="J87" s="337"/>
      <c r="K87" s="338"/>
      <c r="L87" s="338"/>
      <c r="M87" s="338"/>
      <c r="N87" s="338"/>
      <c r="O87" s="339"/>
    </row>
    <row r="88" spans="1:59" s="275" customFormat="1" ht="12" customHeight="1">
      <c r="A88" s="19" t="s">
        <v>1477</v>
      </c>
      <c r="B88" s="276" t="s">
        <v>33</v>
      </c>
      <c r="C88" s="264" t="s">
        <v>34</v>
      </c>
      <c r="D88" s="277">
        <f>ROUND(D86*0.589,1)</f>
        <v>1.2</v>
      </c>
      <c r="E88" s="273"/>
      <c r="F88" s="273"/>
      <c r="G88" s="269"/>
      <c r="H88" s="278"/>
      <c r="I88" s="268"/>
      <c r="J88" s="337"/>
      <c r="K88" s="338"/>
      <c r="L88" s="338"/>
      <c r="M88" s="338"/>
      <c r="N88" s="338"/>
      <c r="O88" s="339"/>
    </row>
    <row r="89" spans="1:59" s="270" customFormat="1">
      <c r="A89" s="106">
        <v>22</v>
      </c>
      <c r="B89" s="263" t="s">
        <v>330</v>
      </c>
      <c r="C89" s="264" t="s">
        <v>29</v>
      </c>
      <c r="D89" s="265">
        <v>1</v>
      </c>
      <c r="E89" s="266"/>
      <c r="F89" s="33"/>
      <c r="G89" s="4"/>
      <c r="H89" s="267"/>
      <c r="I89" s="268"/>
      <c r="J89" s="337"/>
      <c r="K89" s="338"/>
      <c r="L89" s="338"/>
      <c r="M89" s="338"/>
      <c r="N89" s="338"/>
      <c r="O89" s="339"/>
    </row>
    <row r="90" spans="1:59" s="275" customFormat="1" ht="12" customHeight="1">
      <c r="A90" s="19" t="s">
        <v>1443</v>
      </c>
      <c r="B90" s="271" t="s">
        <v>1151</v>
      </c>
      <c r="C90" s="272" t="s">
        <v>29</v>
      </c>
      <c r="D90" s="265">
        <v>1</v>
      </c>
      <c r="E90" s="273"/>
      <c r="F90" s="273"/>
      <c r="G90" s="269"/>
      <c r="H90" s="274"/>
      <c r="I90" s="268"/>
      <c r="J90" s="337"/>
      <c r="K90" s="338"/>
      <c r="L90" s="338"/>
      <c r="M90" s="338"/>
      <c r="N90" s="338"/>
      <c r="O90" s="339"/>
    </row>
    <row r="91" spans="1:59" s="275" customFormat="1" ht="12" customHeight="1">
      <c r="A91" s="19" t="s">
        <v>1444</v>
      </c>
      <c r="B91" s="276" t="s">
        <v>33</v>
      </c>
      <c r="C91" s="264" t="s">
        <v>34</v>
      </c>
      <c r="D91" s="277">
        <f>ROUND(D89*0.392,1)</f>
        <v>0.4</v>
      </c>
      <c r="E91" s="273"/>
      <c r="F91" s="273"/>
      <c r="G91" s="269"/>
      <c r="H91" s="278"/>
      <c r="I91" s="268"/>
      <c r="J91" s="337"/>
      <c r="K91" s="338"/>
      <c r="L91" s="338"/>
      <c r="M91" s="338"/>
      <c r="N91" s="338"/>
      <c r="O91" s="339"/>
    </row>
    <row r="92" spans="1:59" s="102" customFormat="1" ht="24">
      <c r="A92" s="106">
        <v>23</v>
      </c>
      <c r="B92" s="114" t="s">
        <v>160</v>
      </c>
      <c r="C92" s="17" t="s">
        <v>14</v>
      </c>
      <c r="D92" s="14">
        <f>ROUND((D15+D23/0.2+D33/0.2+D58+D60+D83)*0.75,2)</f>
        <v>1684.43</v>
      </c>
      <c r="E92" s="16"/>
      <c r="F92" s="33"/>
      <c r="G92" s="4"/>
      <c r="H92" s="16"/>
      <c r="I92" s="4"/>
      <c r="J92" s="337"/>
      <c r="K92" s="338"/>
      <c r="L92" s="338"/>
      <c r="M92" s="338"/>
      <c r="N92" s="338"/>
      <c r="O92" s="339"/>
    </row>
    <row r="93" spans="1:59" s="102" customFormat="1" ht="15" thickBot="1">
      <c r="A93" s="19" t="s">
        <v>1447</v>
      </c>
      <c r="B93" s="121" t="s">
        <v>212</v>
      </c>
      <c r="C93" s="17" t="s">
        <v>14</v>
      </c>
      <c r="D93" s="14">
        <f>D92</f>
        <v>1684.43</v>
      </c>
      <c r="E93" s="40"/>
      <c r="F93" s="40"/>
      <c r="G93" s="16"/>
      <c r="H93" s="16"/>
      <c r="I93" s="16"/>
      <c r="J93" s="337"/>
      <c r="K93" s="338"/>
      <c r="L93" s="338"/>
      <c r="M93" s="338"/>
      <c r="N93" s="338"/>
      <c r="O93" s="339"/>
    </row>
    <row r="94" spans="1:59" s="102" customFormat="1" ht="15.75" thickTop="1" thickBot="1">
      <c r="A94" s="181"/>
      <c r="B94" s="400" t="s">
        <v>1587</v>
      </c>
      <c r="C94" s="401"/>
      <c r="D94" s="401"/>
      <c r="E94" s="401"/>
      <c r="F94" s="401"/>
      <c r="G94" s="401"/>
      <c r="H94" s="401"/>
      <c r="I94" s="401"/>
      <c r="J94" s="402"/>
      <c r="K94" s="182"/>
      <c r="L94" s="182"/>
      <c r="M94" s="182"/>
      <c r="N94" s="182"/>
      <c r="O94" s="183"/>
      <c r="P94" s="25"/>
      <c r="Q94" s="25"/>
      <c r="R94" s="25"/>
      <c r="S94" s="25"/>
      <c r="T94" s="25"/>
      <c r="U94" s="25"/>
      <c r="V94" s="25"/>
      <c r="W94" s="25"/>
      <c r="X94" s="25"/>
      <c r="Y94" s="25"/>
      <c r="Z94" s="25"/>
      <c r="AA94" s="25"/>
    </row>
    <row r="95" spans="1:59" s="102" customFormat="1" ht="15" thickTop="1">
      <c r="B95" s="200"/>
      <c r="P95" s="25"/>
      <c r="Q95" s="25"/>
      <c r="R95" s="25"/>
      <c r="S95" s="25"/>
      <c r="T95" s="25"/>
      <c r="U95" s="25"/>
      <c r="V95" s="25"/>
      <c r="W95" s="25"/>
      <c r="X95" s="25"/>
      <c r="Y95" s="25"/>
      <c r="Z95" s="25"/>
      <c r="AA95" s="25"/>
    </row>
    <row r="96" spans="1:59" s="102" customFormat="1" ht="14.25">
      <c r="B96" s="184"/>
      <c r="P96" s="25"/>
      <c r="Q96" s="25"/>
      <c r="R96" s="25"/>
      <c r="S96" s="25"/>
      <c r="T96" s="25"/>
      <c r="U96" s="25"/>
      <c r="V96" s="25"/>
      <c r="W96" s="25"/>
      <c r="X96" s="25"/>
      <c r="Y96" s="25"/>
      <c r="Z96" s="25"/>
      <c r="AA96" s="25"/>
    </row>
    <row r="97" spans="1:27" s="102" customFormat="1" ht="14.25">
      <c r="A97" s="117"/>
      <c r="B97" s="172" t="s">
        <v>209</v>
      </c>
      <c r="C97" s="117"/>
      <c r="D97" s="117"/>
      <c r="E97" s="117"/>
      <c r="F97" s="117"/>
      <c r="G97" s="117"/>
      <c r="H97" s="117"/>
      <c r="P97" s="25"/>
      <c r="Q97" s="25"/>
      <c r="R97" s="25"/>
      <c r="S97" s="25"/>
      <c r="T97" s="25"/>
      <c r="U97" s="25"/>
      <c r="V97" s="25"/>
      <c r="W97" s="25"/>
      <c r="X97" s="25"/>
      <c r="Y97" s="25"/>
      <c r="Z97" s="25"/>
      <c r="AA97" s="25"/>
    </row>
    <row r="98" spans="1:27" s="102" customFormat="1" ht="9" customHeight="1">
      <c r="A98" s="117"/>
      <c r="B98" s="172"/>
      <c r="C98" s="117"/>
      <c r="D98" s="117"/>
      <c r="E98" s="117"/>
      <c r="F98" s="117"/>
      <c r="G98" s="117"/>
      <c r="H98" s="117"/>
      <c r="P98" s="25"/>
      <c r="Q98" s="25"/>
      <c r="R98" s="25"/>
      <c r="S98" s="25"/>
      <c r="T98" s="25"/>
      <c r="U98" s="25"/>
      <c r="V98" s="25"/>
      <c r="W98" s="25"/>
      <c r="X98" s="25"/>
      <c r="Y98" s="25"/>
      <c r="Z98" s="25"/>
      <c r="AA98" s="25"/>
    </row>
    <row r="99" spans="1:27" s="102" customFormat="1" ht="14.25">
      <c r="B99" s="92">
        <f ca="1">TODAY()</f>
        <v>43206</v>
      </c>
      <c r="P99" s="25"/>
      <c r="Q99" s="25"/>
      <c r="R99" s="25"/>
      <c r="S99" s="25"/>
      <c r="T99" s="25"/>
      <c r="U99" s="25"/>
      <c r="V99" s="25"/>
      <c r="W99" s="25"/>
      <c r="X99" s="25"/>
      <c r="Y99" s="25"/>
      <c r="Z99" s="25"/>
      <c r="AA99" s="25"/>
    </row>
    <row r="100" spans="1:27" s="102" customFormat="1" ht="9" customHeight="1">
      <c r="P100" s="25"/>
      <c r="Q100" s="25"/>
      <c r="R100" s="25"/>
      <c r="S100" s="25"/>
      <c r="T100" s="25"/>
      <c r="U100" s="25"/>
      <c r="V100" s="25"/>
      <c r="W100" s="25"/>
      <c r="X100" s="25"/>
      <c r="Y100" s="25"/>
      <c r="Z100" s="25"/>
      <c r="AA100" s="25"/>
    </row>
    <row r="101" spans="1:27" s="102" customFormat="1" ht="14.25">
      <c r="A101" s="117"/>
      <c r="B101" s="117"/>
      <c r="C101" s="117"/>
      <c r="D101" s="117"/>
      <c r="E101" s="117"/>
      <c r="F101" s="117"/>
      <c r="G101" s="117"/>
      <c r="H101" s="117"/>
      <c r="I101" s="117"/>
      <c r="J101" s="117"/>
      <c r="K101" s="117"/>
      <c r="L101" s="117"/>
      <c r="M101" s="117"/>
      <c r="N101" s="117"/>
      <c r="O101" s="117"/>
      <c r="P101" s="25"/>
      <c r="Q101" s="25"/>
      <c r="R101" s="25"/>
      <c r="S101" s="25"/>
      <c r="T101" s="25"/>
      <c r="U101" s="25"/>
      <c r="V101" s="25"/>
      <c r="W101" s="25"/>
      <c r="X101" s="25"/>
      <c r="Y101" s="25"/>
      <c r="Z101" s="25"/>
      <c r="AA101" s="25"/>
    </row>
    <row r="102" spans="1:27" s="102" customFormat="1" ht="14.25">
      <c r="A102" s="117"/>
      <c r="B102" s="117"/>
      <c r="C102" s="117"/>
      <c r="D102" s="117"/>
      <c r="E102" s="117"/>
      <c r="F102" s="117"/>
      <c r="G102" s="117"/>
      <c r="H102" s="117"/>
      <c r="I102" s="117"/>
      <c r="J102" s="117"/>
      <c r="K102" s="117"/>
      <c r="L102" s="117"/>
      <c r="M102" s="117"/>
      <c r="N102" s="117"/>
      <c r="O102" s="117"/>
      <c r="P102" s="25"/>
      <c r="Q102" s="25"/>
      <c r="R102" s="25"/>
      <c r="S102" s="25"/>
      <c r="T102" s="25"/>
      <c r="U102" s="25"/>
      <c r="V102" s="25"/>
      <c r="W102" s="25"/>
      <c r="X102" s="25"/>
      <c r="Y102" s="25"/>
      <c r="Z102" s="25"/>
      <c r="AA102" s="25"/>
    </row>
    <row r="103" spans="1:27">
      <c r="P103" s="133"/>
      <c r="Q103" s="133"/>
      <c r="R103" s="133"/>
      <c r="S103" s="133"/>
      <c r="T103" s="133"/>
      <c r="U103" s="133"/>
      <c r="V103" s="133"/>
      <c r="W103" s="133"/>
      <c r="X103" s="133"/>
      <c r="Y103" s="133"/>
      <c r="Z103" s="133"/>
      <c r="AA103" s="133"/>
    </row>
    <row r="104" spans="1:27">
      <c r="P104" s="133"/>
      <c r="Q104" s="133"/>
      <c r="R104" s="133"/>
      <c r="S104" s="133"/>
      <c r="T104" s="133"/>
      <c r="U104" s="133"/>
      <c r="V104" s="133"/>
      <c r="W104" s="133"/>
      <c r="X104" s="133"/>
      <c r="Y104" s="133"/>
      <c r="Z104" s="133"/>
      <c r="AA104" s="133"/>
    </row>
    <row r="105" spans="1:27">
      <c r="P105" s="133"/>
      <c r="Q105" s="133"/>
      <c r="R105" s="133"/>
      <c r="S105" s="133"/>
      <c r="T105" s="133"/>
      <c r="U105" s="133"/>
      <c r="V105" s="133"/>
      <c r="W105" s="133"/>
      <c r="X105" s="133"/>
      <c r="Y105" s="133"/>
      <c r="Z105" s="133"/>
      <c r="AA105" s="133"/>
    </row>
    <row r="106" spans="1:27">
      <c r="P106" s="133"/>
      <c r="Q106" s="133"/>
      <c r="R106" s="133"/>
      <c r="S106" s="133"/>
      <c r="T106" s="133"/>
      <c r="U106" s="133"/>
      <c r="V106" s="133"/>
      <c r="W106" s="133"/>
      <c r="X106" s="133"/>
      <c r="Y106" s="133"/>
      <c r="Z106" s="133"/>
      <c r="AA106" s="133"/>
    </row>
    <row r="107" spans="1:27">
      <c r="P107" s="133"/>
      <c r="Q107" s="133"/>
      <c r="R107" s="133"/>
      <c r="S107" s="133"/>
      <c r="T107" s="133"/>
      <c r="U107" s="133"/>
      <c r="V107" s="133"/>
      <c r="W107" s="133"/>
      <c r="X107" s="133"/>
      <c r="Y107" s="133"/>
      <c r="Z107" s="133"/>
      <c r="AA107" s="133"/>
    </row>
    <row r="108" spans="1:27">
      <c r="P108" s="133"/>
      <c r="Q108" s="133"/>
      <c r="R108" s="133"/>
      <c r="S108" s="133"/>
      <c r="T108" s="133"/>
      <c r="U108" s="133"/>
      <c r="V108" s="133"/>
      <c r="W108" s="133"/>
      <c r="X108" s="133"/>
      <c r="Y108" s="133"/>
      <c r="Z108" s="133"/>
      <c r="AA108" s="133"/>
    </row>
    <row r="109" spans="1:27">
      <c r="P109" s="133"/>
      <c r="Q109" s="133"/>
      <c r="R109" s="133"/>
      <c r="S109" s="133"/>
      <c r="T109" s="133"/>
      <c r="U109" s="133"/>
      <c r="V109" s="133"/>
      <c r="W109" s="133"/>
      <c r="X109" s="133"/>
      <c r="Y109" s="133"/>
      <c r="Z109" s="133"/>
      <c r="AA109" s="133"/>
    </row>
    <row r="110" spans="1:27">
      <c r="P110" s="133"/>
      <c r="Q110" s="133"/>
      <c r="R110" s="133"/>
      <c r="S110" s="133"/>
      <c r="T110" s="133"/>
      <c r="U110" s="133"/>
      <c r="V110" s="133"/>
      <c r="W110" s="133"/>
      <c r="X110" s="133"/>
      <c r="Y110" s="133"/>
      <c r="Z110" s="133"/>
      <c r="AA110" s="133"/>
    </row>
    <row r="111" spans="1:27">
      <c r="P111" s="133"/>
      <c r="Q111" s="133"/>
      <c r="R111" s="133"/>
      <c r="S111" s="133"/>
      <c r="T111" s="133"/>
      <c r="U111" s="133"/>
      <c r="V111" s="133"/>
      <c r="W111" s="133"/>
      <c r="X111" s="133"/>
      <c r="Y111" s="133"/>
      <c r="Z111" s="133"/>
      <c r="AA111" s="133"/>
    </row>
    <row r="112" spans="1:27">
      <c r="P112" s="133"/>
      <c r="Q112" s="133"/>
      <c r="R112" s="133"/>
      <c r="S112" s="133"/>
      <c r="T112" s="133"/>
      <c r="U112" s="133"/>
      <c r="V112" s="133"/>
      <c r="W112" s="133"/>
      <c r="X112" s="133"/>
      <c r="Y112" s="133"/>
      <c r="Z112" s="133"/>
      <c r="AA112" s="133"/>
    </row>
    <row r="113" spans="16:27">
      <c r="P113" s="133"/>
      <c r="Q113" s="133"/>
      <c r="R113" s="133"/>
      <c r="S113" s="133"/>
      <c r="T113" s="133"/>
      <c r="U113" s="133"/>
      <c r="V113" s="133"/>
      <c r="W113" s="133"/>
      <c r="X113" s="133"/>
      <c r="Y113" s="133"/>
      <c r="Z113" s="133"/>
      <c r="AA113" s="133"/>
    </row>
  </sheetData>
  <mergeCells count="22">
    <mergeCell ref="B94:J94"/>
    <mergeCell ref="A1:O1"/>
    <mergeCell ref="A2:O2"/>
    <mergeCell ref="A7:A10"/>
    <mergeCell ref="B7:B10"/>
    <mergeCell ref="C7:C10"/>
    <mergeCell ref="D7:D10"/>
    <mergeCell ref="E7:J7"/>
    <mergeCell ref="E8:E10"/>
    <mergeCell ref="F8:F10"/>
    <mergeCell ref="G8:G10"/>
    <mergeCell ref="H8:H10"/>
    <mergeCell ref="I8:I10"/>
    <mergeCell ref="J8:J10"/>
    <mergeCell ref="M8:M10"/>
    <mergeCell ref="N8:N10"/>
    <mergeCell ref="O8:O10"/>
    <mergeCell ref="J6:M6"/>
    <mergeCell ref="N6:O6"/>
    <mergeCell ref="K7:O7"/>
    <mergeCell ref="K8:K10"/>
    <mergeCell ref="L8:L10"/>
  </mergeCells>
  <conditionalFormatting sqref="C66">
    <cfRule type="cellIs" dxfId="101" priority="11" stopIfTrue="1" operator="equal">
      <formula>0</formula>
    </cfRule>
    <cfRule type="expression" dxfId="100" priority="12" stopIfTrue="1">
      <formula>#DIV/0!</formula>
    </cfRule>
  </conditionalFormatting>
  <conditionalFormatting sqref="C67:C69">
    <cfRule type="cellIs" dxfId="99" priority="9" stopIfTrue="1" operator="equal">
      <formula>0</formula>
    </cfRule>
    <cfRule type="expression" dxfId="98" priority="10" stopIfTrue="1">
      <formula>#DIV/0!</formula>
    </cfRule>
  </conditionalFormatting>
  <conditionalFormatting sqref="C70 C72 C75">
    <cfRule type="cellIs" dxfId="97" priority="7" stopIfTrue="1" operator="equal">
      <formula>0</formula>
    </cfRule>
    <cfRule type="expression" dxfId="96" priority="8" stopIfTrue="1">
      <formula>#DIV/0!</formula>
    </cfRule>
  </conditionalFormatting>
  <conditionalFormatting sqref="C71">
    <cfRule type="cellIs" dxfId="95" priority="5" stopIfTrue="1" operator="equal">
      <formula>0</formula>
    </cfRule>
    <cfRule type="expression" dxfId="94" priority="6" stopIfTrue="1">
      <formula>#DIV/0!</formula>
    </cfRule>
  </conditionalFormatting>
  <conditionalFormatting sqref="C73:C74">
    <cfRule type="cellIs" dxfId="93" priority="3" stopIfTrue="1" operator="equal">
      <formula>0</formula>
    </cfRule>
    <cfRule type="expression" dxfId="92" priority="4" stopIfTrue="1">
      <formula>#DIV/0!</formula>
    </cfRule>
  </conditionalFormatting>
  <conditionalFormatting sqref="C76:C78">
    <cfRule type="cellIs" dxfId="91" priority="1" stopIfTrue="1" operator="equal">
      <formula>0</formula>
    </cfRule>
    <cfRule type="expression" dxfId="90" priority="2" stopIfTrue="1">
      <formula>#DIV/0!</formula>
    </cfRule>
  </conditionalFormatting>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50</vt:i4>
      </vt:variant>
    </vt:vector>
  </HeadingPairs>
  <TitlesOfParts>
    <vt:vector size="76" baseType="lpstr">
      <vt:lpstr>Kopsavilkums</vt:lpstr>
      <vt:lpstr>0-0</vt:lpstr>
      <vt:lpstr>0-1</vt:lpstr>
      <vt:lpstr>1-1</vt:lpstr>
      <vt:lpstr>1-2</vt:lpstr>
      <vt:lpstr>1-3</vt:lpstr>
      <vt:lpstr>1-4</vt:lpstr>
      <vt:lpstr>1-5</vt:lpstr>
      <vt:lpstr>1-6</vt:lpstr>
      <vt:lpstr>1-7</vt:lpstr>
      <vt:lpstr>1-8</vt:lpstr>
      <vt:lpstr>1-9</vt:lpstr>
      <vt:lpstr>1-10</vt:lpstr>
      <vt:lpstr>1-11</vt:lpstr>
      <vt:lpstr>1-12</vt:lpstr>
      <vt:lpstr>1-13</vt:lpstr>
      <vt:lpstr>2-1</vt:lpstr>
      <vt:lpstr>2-2</vt:lpstr>
      <vt:lpstr>2-3</vt:lpstr>
      <vt:lpstr>2-4</vt:lpstr>
      <vt:lpstr>2-5</vt:lpstr>
      <vt:lpstr>2-6</vt:lpstr>
      <vt:lpstr>3-1</vt:lpstr>
      <vt:lpstr>3-2</vt:lpstr>
      <vt:lpstr>3-3</vt:lpstr>
      <vt:lpstr>4-1</vt:lpstr>
      <vt:lpstr>'0-0'!Print_Area</vt:lpstr>
      <vt:lpstr>'0-1'!Print_Area</vt:lpstr>
      <vt:lpstr>'1-1'!Print_Area</vt:lpstr>
      <vt:lpstr>'1-10'!Print_Area</vt:lpstr>
      <vt:lpstr>'1-11'!Print_Area</vt:lpstr>
      <vt:lpstr>'1-12'!Print_Area</vt:lpstr>
      <vt:lpstr>'1-13'!Print_Area</vt:lpstr>
      <vt:lpstr>'1-2'!Print_Area</vt:lpstr>
      <vt:lpstr>'1-3'!Print_Area</vt:lpstr>
      <vt:lpstr>'1-4'!Print_Area</vt:lpstr>
      <vt:lpstr>'1-5'!Print_Area</vt:lpstr>
      <vt:lpstr>'1-6'!Print_Area</vt:lpstr>
      <vt:lpstr>'1-7'!Print_Area</vt:lpstr>
      <vt:lpstr>'1-8'!Print_Area</vt:lpstr>
      <vt:lpstr>'1-9'!Print_Area</vt:lpstr>
      <vt:lpstr>'2-1'!Print_Area</vt:lpstr>
      <vt:lpstr>'2-2'!Print_Area</vt:lpstr>
      <vt:lpstr>'2-3'!Print_Area</vt:lpstr>
      <vt:lpstr>'2-4'!Print_Area</vt:lpstr>
      <vt:lpstr>'2-5'!Print_Area</vt:lpstr>
      <vt:lpstr>'2-6'!Print_Area</vt:lpstr>
      <vt:lpstr>'3-1'!Print_Area</vt:lpstr>
      <vt:lpstr>'3-2'!Print_Area</vt:lpstr>
      <vt:lpstr>'3-3'!Print_Area</vt:lpstr>
      <vt:lpstr>'4-1'!Print_Area</vt:lpstr>
      <vt:lpstr>Kopsavilkums!Print_Area</vt:lpstr>
      <vt:lpstr>'0-0'!Print_Titles</vt:lpstr>
      <vt:lpstr>'0-1'!Print_Titles</vt:lpstr>
      <vt:lpstr>'1-1'!Print_Titles</vt:lpstr>
      <vt:lpstr>'1-10'!Print_Titles</vt:lpstr>
      <vt:lpstr>'1-11'!Print_Titles</vt:lpstr>
      <vt:lpstr>'1-12'!Print_Titles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'2-2'!Print_Titles</vt:lpstr>
      <vt:lpstr>'2-3'!Print_Titles</vt:lpstr>
      <vt:lpstr>'2-4'!Print_Titles</vt:lpstr>
      <vt:lpstr>'2-5'!Print_Titles</vt:lpstr>
      <vt:lpstr>'2-6'!Print_Titles</vt:lpstr>
      <vt:lpstr>'3-1'!Print_Titles</vt:lpstr>
      <vt:lpstr>'3-2'!Print_Titles</vt:lpstr>
      <vt:lpstr>'3-3'!Print_Titles</vt:lpstr>
      <vt:lpstr>'4-1'!Print_Titles</vt:lpstr>
    </vt:vector>
  </TitlesOfParts>
  <Company>RCC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dc:creator>
  <cp:lastModifiedBy>Marite_V</cp:lastModifiedBy>
  <cp:lastPrinted>2018-03-29T14:56:22Z</cp:lastPrinted>
  <dcterms:created xsi:type="dcterms:W3CDTF">2002-09-19T07:20:52Z</dcterms:created>
  <dcterms:modified xsi:type="dcterms:W3CDTF">2018-04-16T12:13:13Z</dcterms:modified>
</cp:coreProperties>
</file>