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8A7A036-EE9D-4149-9959-FD41D26D1C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psavilkums" sheetId="1" r:id="rId1"/>
    <sheet name="protokoli 5" sheetId="2" r:id="rId2"/>
  </sheets>
  <calcPr calcId="191029"/>
</workbook>
</file>

<file path=xl/calcChain.xml><?xml version="1.0" encoding="utf-8"?>
<calcChain xmlns="http://schemas.openxmlformats.org/spreadsheetml/2006/main">
  <c r="T48" i="1" l="1"/>
  <c r="E2" i="1"/>
  <c r="H1213" i="2" l="1"/>
  <c r="B1211" i="2"/>
  <c r="H1168" i="2"/>
  <c r="B1166" i="2"/>
  <c r="H1123" i="2"/>
  <c r="B1121" i="2"/>
  <c r="H1078" i="2"/>
  <c r="B1076" i="2"/>
  <c r="H1033" i="2"/>
  <c r="B1031" i="2"/>
  <c r="H988" i="2"/>
  <c r="B986" i="2"/>
  <c r="H947" i="2"/>
  <c r="B945" i="2"/>
  <c r="H906" i="2"/>
  <c r="B904" i="2"/>
  <c r="H865" i="2"/>
  <c r="B863" i="2"/>
  <c r="H824" i="2"/>
  <c r="B822" i="2"/>
  <c r="H783" i="2"/>
  <c r="B781" i="2"/>
  <c r="H742" i="2"/>
  <c r="B740" i="2"/>
  <c r="H701" i="2"/>
  <c r="B699" i="2"/>
  <c r="H660" i="2"/>
  <c r="B658" i="2"/>
  <c r="H619" i="2"/>
  <c r="B617" i="2"/>
  <c r="H578" i="2"/>
  <c r="B576" i="2"/>
  <c r="H537" i="2"/>
  <c r="B535" i="2"/>
  <c r="H496" i="2"/>
  <c r="B494" i="2"/>
  <c r="H455" i="2"/>
  <c r="B453" i="2"/>
  <c r="H414" i="2"/>
  <c r="B412" i="2"/>
  <c r="H373" i="2"/>
  <c r="B371" i="2"/>
  <c r="H332" i="2"/>
  <c r="B330" i="2"/>
  <c r="H291" i="2"/>
  <c r="B289" i="2"/>
  <c r="H250" i="2"/>
  <c r="B248" i="2"/>
  <c r="H209" i="2"/>
  <c r="B207" i="2"/>
  <c r="H168" i="2"/>
  <c r="B166" i="2"/>
  <c r="H127" i="2"/>
  <c r="B125" i="2"/>
  <c r="H86" i="2"/>
  <c r="B84" i="2"/>
  <c r="H45" i="2"/>
  <c r="B43" i="2"/>
  <c r="H4" i="2"/>
  <c r="B2" i="2"/>
  <c r="S126" i="1"/>
  <c r="Q126" i="1"/>
  <c r="O126" i="1"/>
  <c r="M126" i="1"/>
  <c r="K126" i="1"/>
  <c r="I126" i="1"/>
  <c r="G126" i="1"/>
  <c r="E126" i="1"/>
  <c r="U125" i="1"/>
  <c r="T125" i="1"/>
  <c r="X125" i="1" s="1"/>
  <c r="W125" i="1" s="1"/>
  <c r="A125" i="1" s="1"/>
  <c r="X124" i="1"/>
  <c r="W124" i="1" s="1"/>
  <c r="A124" i="1" s="1"/>
  <c r="U124" i="1"/>
  <c r="T124" i="1"/>
  <c r="U123" i="1"/>
  <c r="T123" i="1"/>
  <c r="X123" i="1" s="1"/>
  <c r="W123" i="1" s="1"/>
  <c r="A123" i="1" s="1"/>
  <c r="U122" i="1"/>
  <c r="T122" i="1"/>
  <c r="X122" i="1" s="1"/>
  <c r="W122" i="1" s="1"/>
  <c r="A122" i="1" s="1"/>
  <c r="U121" i="1"/>
  <c r="T121" i="1"/>
  <c r="X121" i="1" s="1"/>
  <c r="W121" i="1" s="1"/>
  <c r="A121" i="1" s="1"/>
  <c r="X120" i="1"/>
  <c r="W120" i="1" s="1"/>
  <c r="A120" i="1" s="1"/>
  <c r="U120" i="1"/>
  <c r="T120" i="1"/>
  <c r="U119" i="1"/>
  <c r="T119" i="1"/>
  <c r="X119" i="1" s="1"/>
  <c r="W119" i="1" s="1"/>
  <c r="A119" i="1" s="1"/>
  <c r="U118" i="1"/>
  <c r="T118" i="1"/>
  <c r="X118" i="1" s="1"/>
  <c r="W118" i="1" s="1"/>
  <c r="A118" i="1" s="1"/>
  <c r="U117" i="1"/>
  <c r="T117" i="1"/>
  <c r="X117" i="1" s="1"/>
  <c r="W117" i="1" s="1"/>
  <c r="A117" i="1" s="1"/>
  <c r="U116" i="1"/>
  <c r="T116" i="1"/>
  <c r="X116" i="1" s="1"/>
  <c r="W116" i="1" s="1"/>
  <c r="A116" i="1" s="1"/>
  <c r="X115" i="1"/>
  <c r="W115" i="1" s="1"/>
  <c r="A115" i="1" s="1"/>
  <c r="U115" i="1"/>
  <c r="T115" i="1"/>
  <c r="U114" i="1"/>
  <c r="T114" i="1"/>
  <c r="X114" i="1" s="1"/>
  <c r="W114" i="1" s="1"/>
  <c r="A114" i="1" s="1"/>
  <c r="U113" i="1"/>
  <c r="T113" i="1"/>
  <c r="X113" i="1" s="1"/>
  <c r="W113" i="1" s="1"/>
  <c r="A113" i="1" s="1"/>
  <c r="U112" i="1"/>
  <c r="T112" i="1"/>
  <c r="X112" i="1" s="1"/>
  <c r="W112" i="1" s="1"/>
  <c r="A112" i="1" s="1"/>
  <c r="U111" i="1"/>
  <c r="T111" i="1"/>
  <c r="X111" i="1" s="1"/>
  <c r="W111" i="1" s="1"/>
  <c r="A111" i="1" s="1"/>
  <c r="X110" i="1"/>
  <c r="W110" i="1" s="1"/>
  <c r="A110" i="1" s="1"/>
  <c r="U110" i="1"/>
  <c r="T110" i="1"/>
  <c r="U109" i="1"/>
  <c r="T109" i="1"/>
  <c r="X109" i="1" s="1"/>
  <c r="W109" i="1" s="1"/>
  <c r="A109" i="1" s="1"/>
  <c r="X108" i="1"/>
  <c r="W108" i="1" s="1"/>
  <c r="A108" i="1" s="1"/>
  <c r="U108" i="1"/>
  <c r="T108" i="1"/>
  <c r="U107" i="1"/>
  <c r="T107" i="1"/>
  <c r="X107" i="1" s="1"/>
  <c r="W107" i="1" s="1"/>
  <c r="A107" i="1" s="1"/>
  <c r="X106" i="1"/>
  <c r="W106" i="1" s="1"/>
  <c r="A106" i="1" s="1"/>
  <c r="U106" i="1"/>
  <c r="T106" i="1"/>
  <c r="U105" i="1"/>
  <c r="T105" i="1"/>
  <c r="X105" i="1" s="1"/>
  <c r="W105" i="1" s="1"/>
  <c r="A105" i="1" s="1"/>
  <c r="U104" i="1"/>
  <c r="T104" i="1"/>
  <c r="X104" i="1" s="1"/>
  <c r="W104" i="1" s="1"/>
  <c r="A104" i="1" s="1"/>
  <c r="U103" i="1"/>
  <c r="T103" i="1"/>
  <c r="X103" i="1" s="1"/>
  <c r="W103" i="1" s="1"/>
  <c r="A103" i="1" s="1"/>
  <c r="U102" i="1"/>
  <c r="T102" i="1"/>
  <c r="X102" i="1" s="1"/>
  <c r="W102" i="1" s="1"/>
  <c r="A102" i="1" s="1"/>
  <c r="X101" i="1"/>
  <c r="W101" i="1" s="1"/>
  <c r="A101" i="1" s="1"/>
  <c r="U101" i="1"/>
  <c r="T101" i="1"/>
  <c r="U100" i="1"/>
  <c r="T100" i="1"/>
  <c r="X100" i="1" s="1"/>
  <c r="W100" i="1" s="1"/>
  <c r="A100" i="1" s="1"/>
  <c r="X99" i="1"/>
  <c r="W99" i="1" s="1"/>
  <c r="A99" i="1" s="1"/>
  <c r="U99" i="1"/>
  <c r="T99" i="1"/>
  <c r="U98" i="1"/>
  <c r="T98" i="1"/>
  <c r="X98" i="1" s="1"/>
  <c r="W98" i="1" s="1"/>
  <c r="A98" i="1" s="1"/>
  <c r="X97" i="1"/>
  <c r="W97" i="1" s="1"/>
  <c r="A97" i="1" s="1"/>
  <c r="U97" i="1"/>
  <c r="T97" i="1"/>
  <c r="U96" i="1"/>
  <c r="T96" i="1"/>
  <c r="X96" i="1" s="1"/>
  <c r="W96" i="1" s="1"/>
  <c r="A96" i="1" s="1"/>
  <c r="U95" i="1"/>
  <c r="T95" i="1"/>
  <c r="X95" i="1" s="1"/>
  <c r="W95" i="1" s="1"/>
  <c r="A95" i="1" s="1"/>
  <c r="X94" i="1"/>
  <c r="W94" i="1" s="1"/>
  <c r="A94" i="1" s="1"/>
  <c r="U94" i="1"/>
  <c r="T94" i="1"/>
  <c r="U93" i="1"/>
  <c r="T93" i="1"/>
  <c r="X93" i="1" s="1"/>
  <c r="W93" i="1" s="1"/>
  <c r="A93" i="1" s="1"/>
  <c r="U92" i="1"/>
  <c r="T92" i="1"/>
  <c r="X92" i="1" s="1"/>
  <c r="W92" i="1" s="1"/>
  <c r="A92" i="1" s="1"/>
  <c r="U91" i="1"/>
  <c r="T91" i="1"/>
  <c r="X91" i="1" s="1"/>
  <c r="W91" i="1" s="1"/>
  <c r="A91" i="1" s="1"/>
  <c r="U90" i="1"/>
  <c r="T90" i="1"/>
  <c r="X90" i="1" s="1"/>
  <c r="W90" i="1" s="1"/>
  <c r="A90" i="1" s="1"/>
  <c r="X89" i="1"/>
  <c r="W89" i="1" s="1"/>
  <c r="A89" i="1" s="1"/>
  <c r="U89" i="1"/>
  <c r="T89" i="1"/>
  <c r="U88" i="1"/>
  <c r="T88" i="1"/>
  <c r="X88" i="1" s="1"/>
  <c r="W88" i="1" s="1"/>
  <c r="A88" i="1" s="1"/>
  <c r="X87" i="1"/>
  <c r="W87" i="1" s="1"/>
  <c r="A87" i="1" s="1"/>
  <c r="U87" i="1"/>
  <c r="T87" i="1"/>
  <c r="U86" i="1"/>
  <c r="T86" i="1"/>
  <c r="X86" i="1" s="1"/>
  <c r="W86" i="1" s="1"/>
  <c r="A86" i="1" s="1"/>
  <c r="U85" i="1"/>
  <c r="T85" i="1"/>
  <c r="X85" i="1" s="1"/>
  <c r="W85" i="1" s="1"/>
  <c r="A85" i="1" s="1"/>
  <c r="X84" i="1"/>
  <c r="W84" i="1" s="1"/>
  <c r="A84" i="1" s="1"/>
  <c r="U84" i="1"/>
  <c r="T84" i="1"/>
  <c r="U83" i="1"/>
  <c r="T83" i="1"/>
  <c r="X83" i="1" s="1"/>
  <c r="W83" i="1" s="1"/>
  <c r="A83" i="1" s="1"/>
  <c r="U82" i="1"/>
  <c r="T82" i="1"/>
  <c r="X82" i="1" s="1"/>
  <c r="W82" i="1" s="1"/>
  <c r="A82" i="1" s="1"/>
  <c r="U81" i="1"/>
  <c r="T81" i="1"/>
  <c r="X81" i="1" s="1"/>
  <c r="W81" i="1" s="1"/>
  <c r="A81" i="1" s="1"/>
  <c r="U80" i="1"/>
  <c r="T80" i="1"/>
  <c r="X80" i="1" s="1"/>
  <c r="W80" i="1" s="1"/>
  <c r="A80" i="1" s="1"/>
  <c r="X79" i="1"/>
  <c r="W79" i="1" s="1"/>
  <c r="A79" i="1" s="1"/>
  <c r="U79" i="1"/>
  <c r="T79" i="1"/>
  <c r="U78" i="1"/>
  <c r="T78" i="1"/>
  <c r="X78" i="1" s="1"/>
  <c r="W78" i="1" s="1"/>
  <c r="A78" i="1" s="1"/>
  <c r="X77" i="1"/>
  <c r="W77" i="1" s="1"/>
  <c r="A77" i="1" s="1"/>
  <c r="U77" i="1"/>
  <c r="T77" i="1"/>
  <c r="U76" i="1"/>
  <c r="T76" i="1"/>
  <c r="X76" i="1" s="1"/>
  <c r="W76" i="1" s="1"/>
  <c r="A76" i="1" s="1"/>
  <c r="U75" i="1"/>
  <c r="T75" i="1"/>
  <c r="X75" i="1" s="1"/>
  <c r="W75" i="1" s="1"/>
  <c r="A75" i="1" s="1"/>
  <c r="U74" i="1"/>
  <c r="T74" i="1"/>
  <c r="X74" i="1" s="1"/>
  <c r="W74" i="1" s="1"/>
  <c r="A74" i="1" s="1"/>
  <c r="U73" i="1"/>
  <c r="T73" i="1"/>
  <c r="X73" i="1" s="1"/>
  <c r="W73" i="1" s="1"/>
  <c r="A73" i="1" s="1"/>
  <c r="X72" i="1"/>
  <c r="W72" i="1" s="1"/>
  <c r="A72" i="1" s="1"/>
  <c r="U72" i="1"/>
  <c r="T72" i="1"/>
  <c r="U71" i="1"/>
  <c r="T71" i="1"/>
  <c r="X71" i="1" s="1"/>
  <c r="W71" i="1" s="1"/>
  <c r="A71" i="1" s="1"/>
  <c r="U48" i="1"/>
  <c r="U34" i="1"/>
  <c r="T34" i="1"/>
  <c r="U42" i="1"/>
  <c r="T42" i="1"/>
  <c r="U65" i="1"/>
  <c r="U33" i="1"/>
  <c r="T33" i="1"/>
  <c r="U61" i="1"/>
  <c r="T61" i="1"/>
  <c r="U70" i="1"/>
  <c r="U47" i="1"/>
  <c r="T47" i="1"/>
  <c r="U57" i="1"/>
  <c r="T57" i="1"/>
  <c r="U38" i="1"/>
  <c r="T38" i="1"/>
  <c r="U59" i="1"/>
  <c r="T59" i="1"/>
  <c r="U58" i="1"/>
  <c r="T58" i="1"/>
  <c r="U36" i="1"/>
  <c r="T36" i="1"/>
  <c r="U31" i="1"/>
  <c r="T31" i="1"/>
  <c r="U9" i="1"/>
  <c r="T9" i="1"/>
  <c r="U62" i="1"/>
  <c r="T62" i="1"/>
  <c r="U56" i="1"/>
  <c r="T56" i="1"/>
  <c r="U25" i="1"/>
  <c r="T25" i="1"/>
  <c r="U60" i="1"/>
  <c r="T60" i="1"/>
  <c r="U50" i="1"/>
  <c r="T50" i="1"/>
  <c r="U69" i="1"/>
  <c r="U63" i="1"/>
  <c r="U45" i="1"/>
  <c r="T45" i="1"/>
  <c r="U35" i="1"/>
  <c r="T35" i="1"/>
  <c r="U23" i="1"/>
  <c r="T23" i="1"/>
  <c r="U29" i="1"/>
  <c r="T29" i="1"/>
  <c r="U39" i="1"/>
  <c r="T39" i="1"/>
  <c r="U13" i="1"/>
  <c r="T13" i="1"/>
  <c r="U41" i="1"/>
  <c r="T41" i="1"/>
  <c r="U67" i="1"/>
  <c r="U55" i="1"/>
  <c r="T55" i="1"/>
  <c r="U21" i="1"/>
  <c r="T21" i="1"/>
  <c r="U40" i="1"/>
  <c r="T40" i="1"/>
  <c r="U68" i="1"/>
  <c r="U30" i="1"/>
  <c r="T30" i="1"/>
  <c r="U66" i="1"/>
  <c r="U26" i="1"/>
  <c r="T26" i="1"/>
  <c r="U28" i="1"/>
  <c r="T28" i="1"/>
  <c r="U24" i="1"/>
  <c r="T24" i="1"/>
  <c r="U53" i="1"/>
  <c r="T53" i="1"/>
  <c r="U44" i="1"/>
  <c r="T44" i="1"/>
  <c r="U20" i="1"/>
  <c r="T20" i="1"/>
  <c r="U22" i="1"/>
  <c r="T22" i="1"/>
  <c r="U27" i="1"/>
  <c r="T27" i="1"/>
  <c r="U32" i="1"/>
  <c r="T32" i="1"/>
  <c r="U6" i="1"/>
  <c r="T6" i="1"/>
  <c r="U54" i="1"/>
  <c r="T54" i="1"/>
  <c r="U46" i="1"/>
  <c r="T46" i="1"/>
  <c r="U8" i="1"/>
  <c r="T8" i="1"/>
  <c r="U49" i="1"/>
  <c r="T49" i="1"/>
  <c r="U19" i="1"/>
  <c r="T19" i="1"/>
  <c r="U52" i="1"/>
  <c r="T52" i="1"/>
  <c r="U14" i="1"/>
  <c r="T14" i="1"/>
  <c r="U43" i="1"/>
  <c r="T43" i="1"/>
  <c r="U17" i="1"/>
  <c r="T17" i="1"/>
  <c r="U7" i="1"/>
  <c r="T7" i="1"/>
  <c r="U37" i="1"/>
  <c r="T37" i="1"/>
  <c r="U64" i="1"/>
  <c r="U15" i="1"/>
  <c r="T15" i="1"/>
  <c r="U12" i="1"/>
  <c r="T12" i="1"/>
  <c r="U51" i="1"/>
  <c r="T51" i="1"/>
  <c r="U11" i="1"/>
  <c r="T11" i="1"/>
  <c r="U16" i="1"/>
  <c r="T16" i="1"/>
  <c r="U10" i="1"/>
  <c r="T10" i="1"/>
  <c r="U18" i="1"/>
  <c r="T18" i="1"/>
  <c r="X22" i="1" l="1"/>
  <c r="X8" i="1"/>
  <c r="X26" i="1"/>
  <c r="X11" i="1"/>
  <c r="X7" i="1"/>
  <c r="X17" i="1"/>
  <c r="X48" i="1"/>
  <c r="X66" i="1"/>
  <c r="X27" i="1"/>
  <c r="X63" i="1"/>
  <c r="X23" i="1"/>
  <c r="X13" i="1"/>
  <c r="X59" i="1"/>
  <c r="X21" i="1"/>
  <c r="X32" i="1"/>
  <c r="X40" i="1"/>
  <c r="X44" i="1"/>
  <c r="X50" i="1"/>
  <c r="X6" i="1"/>
  <c r="X51" i="1"/>
  <c r="X9" i="1"/>
  <c r="X53" i="1"/>
  <c r="X25" i="1"/>
  <c r="X52" i="1"/>
  <c r="X64" i="1"/>
  <c r="X14" i="1"/>
  <c r="X18" i="1"/>
  <c r="X33" i="1"/>
  <c r="X45" i="1"/>
  <c r="X57" i="1"/>
  <c r="X65" i="1"/>
  <c r="X69" i="1"/>
  <c r="X19" i="1"/>
  <c r="X38" i="1"/>
  <c r="X70" i="1"/>
  <c r="X12" i="1"/>
  <c r="X58" i="1"/>
  <c r="X62" i="1"/>
  <c r="U126" i="1"/>
  <c r="X20" i="1"/>
  <c r="X31" i="1"/>
  <c r="X39" i="1"/>
  <c r="X43" i="1"/>
  <c r="X61" i="1"/>
  <c r="X29" i="1"/>
  <c r="X55" i="1"/>
  <c r="X30" i="1"/>
  <c r="X42" i="1"/>
  <c r="X49" i="1"/>
  <c r="X56" i="1"/>
  <c r="X68" i="1"/>
  <c r="X16" i="1"/>
  <c r="X28" i="1"/>
  <c r="V2" i="1"/>
  <c r="X24" i="1"/>
  <c r="X36" i="1"/>
  <c r="X15" i="1"/>
  <c r="X37" i="1"/>
  <c r="X35" i="1"/>
  <c r="X54" i="1"/>
  <c r="X47" i="1"/>
  <c r="X10" i="1"/>
  <c r="X67" i="1"/>
  <c r="X34" i="1"/>
  <c r="X41" i="1"/>
  <c r="X46" i="1"/>
  <c r="X60" i="1"/>
  <c r="W18" i="1" l="1"/>
  <c r="N47" i="2"/>
  <c r="B47" i="2" s="1"/>
  <c r="B48" i="2" s="1"/>
  <c r="P1170" i="2"/>
  <c r="F1172" i="2" s="1"/>
  <c r="O88" i="2"/>
  <c r="E90" i="2" s="1"/>
  <c r="W34" i="1"/>
  <c r="W31" i="1"/>
  <c r="R1080" i="2"/>
  <c r="K1082" i="2" s="1"/>
  <c r="W69" i="1"/>
  <c r="Q1035" i="2"/>
  <c r="H1037" i="2" s="1"/>
  <c r="P1215" i="2"/>
  <c r="F1217" i="2" s="1"/>
  <c r="W19" i="1"/>
  <c r="R416" i="2"/>
  <c r="J416" i="2" s="1"/>
  <c r="J417" i="2" s="1"/>
  <c r="Q6" i="2"/>
  <c r="H6" i="2" s="1"/>
  <c r="H7" i="2" s="1"/>
  <c r="O826" i="2"/>
  <c r="D828" i="2" s="1"/>
  <c r="O703" i="2"/>
  <c r="E705" i="2" s="1"/>
  <c r="N703" i="2"/>
  <c r="B703" i="2" s="1"/>
  <c r="B704" i="2" s="1"/>
  <c r="R47" i="2"/>
  <c r="K49" i="2" s="1"/>
  <c r="R1215" i="2"/>
  <c r="J1215" i="2" s="1"/>
  <c r="J1216" i="2" s="1"/>
  <c r="R949" i="2"/>
  <c r="J951" i="2" s="1"/>
  <c r="W37" i="1"/>
  <c r="W56" i="1"/>
  <c r="R88" i="2"/>
  <c r="J90" i="2" s="1"/>
  <c r="R6" i="2"/>
  <c r="J8" i="2" s="1"/>
  <c r="N662" i="2"/>
  <c r="B664" i="2" s="1"/>
  <c r="W33" i="1"/>
  <c r="W65" i="1"/>
  <c r="W25" i="1"/>
  <c r="R703" i="2"/>
  <c r="J703" i="2" s="1"/>
  <c r="J704" i="2" s="1"/>
  <c r="R211" i="2"/>
  <c r="J213" i="2" s="1"/>
  <c r="Q1170" i="2"/>
  <c r="H1170" i="2" s="1"/>
  <c r="H1171" i="2" s="1"/>
  <c r="Q1215" i="2"/>
  <c r="H1215" i="2" s="1"/>
  <c r="H1216" i="2" s="1"/>
  <c r="W22" i="1"/>
  <c r="R293" i="2"/>
  <c r="K295" i="2" s="1"/>
  <c r="O47" i="2"/>
  <c r="E49" i="2" s="1"/>
  <c r="Q949" i="2"/>
  <c r="I951" i="2" s="1"/>
  <c r="Q826" i="2"/>
  <c r="H826" i="2" s="1"/>
  <c r="H827" i="2" s="1"/>
  <c r="O662" i="2"/>
  <c r="E664" i="2" s="1"/>
  <c r="R334" i="2"/>
  <c r="J334" i="2" s="1"/>
  <c r="J335" i="2" s="1"/>
  <c r="N744" i="2"/>
  <c r="C746" i="2" s="1"/>
  <c r="P1080" i="2"/>
  <c r="F1080" i="2" s="1"/>
  <c r="F1081" i="2" s="1"/>
  <c r="N1035" i="2"/>
  <c r="C1037" i="2" s="1"/>
  <c r="W17" i="1"/>
  <c r="R1125" i="2"/>
  <c r="J1125" i="2" s="1"/>
  <c r="J1126" i="2" s="1"/>
  <c r="R908" i="2"/>
  <c r="J910" i="2" s="1"/>
  <c r="Q1080" i="2"/>
  <c r="H1082" i="2" s="1"/>
  <c r="P1125" i="2"/>
  <c r="G1127" i="2" s="1"/>
  <c r="W43" i="1"/>
  <c r="R662" i="2"/>
  <c r="J664" i="2" s="1"/>
  <c r="R375" i="2"/>
  <c r="J377" i="2" s="1"/>
  <c r="R129" i="2"/>
  <c r="J131" i="2" s="1"/>
  <c r="O1170" i="2"/>
  <c r="E1172" i="2" s="1"/>
  <c r="O1080" i="2"/>
  <c r="D1080" i="2" s="1"/>
  <c r="D1081" i="2" s="1"/>
  <c r="N990" i="2"/>
  <c r="B992" i="2" s="1"/>
  <c r="N1125" i="2"/>
  <c r="C1127" i="2" s="1"/>
  <c r="N88" i="2"/>
  <c r="C90" i="2" s="1"/>
  <c r="R867" i="2"/>
  <c r="K869" i="2" s="1"/>
  <c r="P662" i="2"/>
  <c r="G664" i="2" s="1"/>
  <c r="W9" i="1"/>
  <c r="W41" i="1"/>
  <c r="W35" i="1"/>
  <c r="W68" i="1"/>
  <c r="W66" i="1"/>
  <c r="N1215" i="2"/>
  <c r="B1217" i="2" s="1"/>
  <c r="W15" i="1"/>
  <c r="W49" i="1"/>
  <c r="W58" i="1"/>
  <c r="R1035" i="2"/>
  <c r="J1035" i="2" s="1"/>
  <c r="J1036" i="2" s="1"/>
  <c r="O908" i="2"/>
  <c r="D910" i="2" s="1"/>
  <c r="R1170" i="2"/>
  <c r="K1172" i="2" s="1"/>
  <c r="W53" i="1"/>
  <c r="Q785" i="2"/>
  <c r="H787" i="2" s="1"/>
  <c r="N6" i="2"/>
  <c r="C8" i="2" s="1"/>
  <c r="R539" i="2"/>
  <c r="K541" i="2" s="1"/>
  <c r="Q908" i="2"/>
  <c r="I910" i="2" s="1"/>
  <c r="R170" i="2"/>
  <c r="K172" i="2" s="1"/>
  <c r="O1215" i="2"/>
  <c r="D1217" i="2" s="1"/>
  <c r="N908" i="2"/>
  <c r="C910" i="2" s="1"/>
  <c r="W29" i="1"/>
  <c r="P703" i="2"/>
  <c r="G705" i="2" s="1"/>
  <c r="W62" i="1"/>
  <c r="W36" i="1"/>
  <c r="R457" i="2"/>
  <c r="K459" i="2" s="1"/>
  <c r="O744" i="2"/>
  <c r="D746" i="2" s="1"/>
  <c r="O785" i="2"/>
  <c r="E787" i="2" s="1"/>
  <c r="W70" i="1"/>
  <c r="W27" i="1"/>
  <c r="Q1125" i="2"/>
  <c r="H1127" i="2" s="1"/>
  <c r="R990" i="2"/>
  <c r="K992" i="2" s="1"/>
  <c r="W67" i="1"/>
  <c r="P6" i="2"/>
  <c r="F6" i="2" s="1"/>
  <c r="F7" i="2" s="1"/>
  <c r="N949" i="2"/>
  <c r="B951" i="2" s="1"/>
  <c r="N1170" i="2"/>
  <c r="C1172" i="2" s="1"/>
  <c r="P826" i="2"/>
  <c r="F828" i="2" s="1"/>
  <c r="R498" i="2"/>
  <c r="J498" i="2" s="1"/>
  <c r="J499" i="2" s="1"/>
  <c r="N785" i="2"/>
  <c r="B787" i="2" s="1"/>
  <c r="P990" i="2"/>
  <c r="F990" i="2" s="1"/>
  <c r="F991" i="2" s="1"/>
  <c r="W21" i="1"/>
  <c r="W38" i="1"/>
  <c r="W57" i="1"/>
  <c r="Q47" i="2"/>
  <c r="I49" i="2" s="1"/>
  <c r="R826" i="2"/>
  <c r="J828" i="2" s="1"/>
  <c r="O990" i="2"/>
  <c r="D990" i="2" s="1"/>
  <c r="D991" i="2" s="1"/>
  <c r="O1125" i="2"/>
  <c r="D1127" i="2" s="1"/>
  <c r="Q703" i="2"/>
  <c r="I705" i="2" s="1"/>
  <c r="N826" i="2"/>
  <c r="B828" i="2" s="1"/>
  <c r="W6" i="1"/>
  <c r="W20" i="1"/>
  <c r="A20" i="1" s="1"/>
  <c r="O170" i="2"/>
  <c r="D172" i="2" s="1"/>
  <c r="W26" i="1"/>
  <c r="O252" i="2"/>
  <c r="D252" i="2" s="1"/>
  <c r="D253" i="2" s="1"/>
  <c r="N129" i="2"/>
  <c r="B129" i="2" s="1"/>
  <c r="B130" i="2" s="1"/>
  <c r="W46" i="1"/>
  <c r="W54" i="1"/>
  <c r="W16" i="1"/>
  <c r="W61" i="1"/>
  <c r="W52" i="1"/>
  <c r="P416" i="2"/>
  <c r="F416" i="2" s="1"/>
  <c r="F417" i="2" s="1"/>
  <c r="Q457" i="2"/>
  <c r="I459" i="2" s="1"/>
  <c r="O375" i="2"/>
  <c r="E377" i="2" s="1"/>
  <c r="P211" i="2"/>
  <c r="F211" i="2" s="1"/>
  <c r="F212" i="2" s="1"/>
  <c r="O539" i="2"/>
  <c r="D541" i="2" s="1"/>
  <c r="P621" i="2"/>
  <c r="F621" i="2" s="1"/>
  <c r="F622" i="2" s="1"/>
  <c r="N375" i="2"/>
  <c r="B375" i="2" s="1"/>
  <c r="B376" i="2" s="1"/>
  <c r="N621" i="2"/>
  <c r="N498" i="2"/>
  <c r="B498" i="2" s="1"/>
  <c r="B499" i="2" s="1"/>
  <c r="P580" i="2"/>
  <c r="F582" i="2" s="1"/>
  <c r="W50" i="1"/>
  <c r="W11" i="1"/>
  <c r="W13" i="1"/>
  <c r="Q498" i="2"/>
  <c r="I500" i="2" s="1"/>
  <c r="Q539" i="2"/>
  <c r="H539" i="2" s="1"/>
  <c r="H540" i="2" s="1"/>
  <c r="P334" i="2"/>
  <c r="F334" i="2" s="1"/>
  <c r="F335" i="2" s="1"/>
  <c r="W42" i="1"/>
  <c r="W23" i="1"/>
  <c r="W64" i="1"/>
  <c r="W48" i="1"/>
  <c r="Q580" i="2"/>
  <c r="I582" i="2" s="1"/>
  <c r="R621" i="2"/>
  <c r="K623" i="2" s="1"/>
  <c r="P457" i="2"/>
  <c r="G459" i="2" s="1"/>
  <c r="P539" i="2"/>
  <c r="F539" i="2" s="1"/>
  <c r="F540" i="2" s="1"/>
  <c r="Q334" i="2"/>
  <c r="H336" i="2" s="1"/>
  <c r="Q211" i="2"/>
  <c r="H213" i="2" s="1"/>
  <c r="R580" i="2"/>
  <c r="J580" i="2" s="1"/>
  <c r="J581" i="2" s="1"/>
  <c r="R252" i="2"/>
  <c r="J252" i="2" s="1"/>
  <c r="J253" i="2" s="1"/>
  <c r="P908" i="2"/>
  <c r="G910" i="2" s="1"/>
  <c r="O949" i="2"/>
  <c r="D949" i="2" s="1"/>
  <c r="D950" i="2" s="1"/>
  <c r="O211" i="2"/>
  <c r="D211" i="2" s="1"/>
  <c r="D212" i="2" s="1"/>
  <c r="P744" i="2"/>
  <c r="F744" i="2" s="1"/>
  <c r="F745" i="2" s="1"/>
  <c r="Q744" i="2"/>
  <c r="I746" i="2" s="1"/>
  <c r="R744" i="2"/>
  <c r="J746" i="2" s="1"/>
  <c r="N416" i="2"/>
  <c r="B418" i="2" s="1"/>
  <c r="O1035" i="2"/>
  <c r="D1037" i="2" s="1"/>
  <c r="N211" i="2"/>
  <c r="C213" i="2" s="1"/>
  <c r="Q662" i="2"/>
  <c r="I664" i="2" s="1"/>
  <c r="N867" i="2"/>
  <c r="C869" i="2" s="1"/>
  <c r="O293" i="2"/>
  <c r="D295" i="2" s="1"/>
  <c r="W30" i="1"/>
  <c r="O621" i="2"/>
  <c r="D621" i="2" s="1"/>
  <c r="D622" i="2" s="1"/>
  <c r="W10" i="1"/>
  <c r="W24" i="1"/>
  <c r="W12" i="1"/>
  <c r="W44" i="1"/>
  <c r="P170" i="2"/>
  <c r="F172" i="2" s="1"/>
  <c r="P498" i="2"/>
  <c r="G500" i="2" s="1"/>
  <c r="P129" i="2"/>
  <c r="F129" i="2" s="1"/>
  <c r="F130" i="2" s="1"/>
  <c r="Q129" i="2"/>
  <c r="H129" i="2" s="1"/>
  <c r="H130" i="2" s="1"/>
  <c r="Q621" i="2"/>
  <c r="P293" i="2"/>
  <c r="G295" i="2" s="1"/>
  <c r="Q375" i="2"/>
  <c r="I377" i="2" s="1"/>
  <c r="O498" i="2"/>
  <c r="D498" i="2" s="1"/>
  <c r="D499" i="2" s="1"/>
  <c r="P1035" i="2"/>
  <c r="N170" i="2"/>
  <c r="O580" i="2"/>
  <c r="W7" i="1"/>
  <c r="W8" i="1"/>
  <c r="N457" i="2"/>
  <c r="W55" i="1"/>
  <c r="W40" i="1"/>
  <c r="W59" i="1"/>
  <c r="W32" i="1"/>
  <c r="P252" i="2"/>
  <c r="F254" i="2" s="1"/>
  <c r="N580" i="2"/>
  <c r="B580" i="2" s="1"/>
  <c r="B581" i="2" s="1"/>
  <c r="Q170" i="2"/>
  <c r="H172" i="2" s="1"/>
  <c r="P375" i="2"/>
  <c r="F375" i="2" s="1"/>
  <c r="F376" i="2" s="1"/>
  <c r="Q252" i="2"/>
  <c r="H252" i="2" s="1"/>
  <c r="H253" i="2" s="1"/>
  <c r="Q293" i="2"/>
  <c r="I295" i="2" s="1"/>
  <c r="P88" i="2"/>
  <c r="F88" i="2" s="1"/>
  <c r="F89" i="2" s="1"/>
  <c r="O129" i="2"/>
  <c r="D131" i="2" s="1"/>
  <c r="O457" i="2"/>
  <c r="D457" i="2" s="1"/>
  <c r="D458" i="2" s="1"/>
  <c r="N252" i="2"/>
  <c r="C254" i="2" s="1"/>
  <c r="Q416" i="2"/>
  <c r="H416" i="2" s="1"/>
  <c r="H417" i="2" s="1"/>
  <c r="Q990" i="2"/>
  <c r="I992" i="2" s="1"/>
  <c r="P949" i="2"/>
  <c r="F949" i="2" s="1"/>
  <c r="F950" i="2" s="1"/>
  <c r="P47" i="2"/>
  <c r="G49" i="2" s="1"/>
  <c r="N1080" i="2"/>
  <c r="C1082" i="2" s="1"/>
  <c r="N334" i="2"/>
  <c r="B334" i="2" s="1"/>
  <c r="B335" i="2" s="1"/>
  <c r="O867" i="2"/>
  <c r="D869" i="2" s="1"/>
  <c r="P867" i="2"/>
  <c r="F869" i="2" s="1"/>
  <c r="Q867" i="2"/>
  <c r="H867" i="2" s="1"/>
  <c r="H868" i="2" s="1"/>
  <c r="N539" i="2"/>
  <c r="B539" i="2" s="1"/>
  <c r="B540" i="2" s="1"/>
  <c r="W45" i="1"/>
  <c r="R785" i="2"/>
  <c r="J787" i="2" s="1"/>
  <c r="Q88" i="2"/>
  <c r="I90" i="2" s="1"/>
  <c r="O334" i="2"/>
  <c r="E336" i="2" s="1"/>
  <c r="P785" i="2"/>
  <c r="F785" i="2" s="1"/>
  <c r="F786" i="2" s="1"/>
  <c r="O6" i="2"/>
  <c r="D8" i="2" s="1"/>
  <c r="W14" i="1"/>
  <c r="N293" i="2"/>
  <c r="B293" i="2" s="1"/>
  <c r="B294" i="2" s="1"/>
  <c r="O416" i="2"/>
  <c r="E418" i="2" s="1"/>
  <c r="W60" i="1"/>
  <c r="W47" i="1"/>
  <c r="W28" i="1"/>
  <c r="W51" i="1"/>
  <c r="W39" i="1"/>
  <c r="W63" i="1"/>
  <c r="B49" i="2"/>
  <c r="G1172" i="2" l="1"/>
  <c r="D908" i="2"/>
  <c r="D909" i="2" s="1"/>
  <c r="E1082" i="2"/>
  <c r="H8" i="2"/>
  <c r="I8" i="2"/>
  <c r="J418" i="2"/>
  <c r="I828" i="2"/>
  <c r="E910" i="2"/>
  <c r="D88" i="2"/>
  <c r="D89" i="2" s="1"/>
  <c r="J705" i="2"/>
  <c r="K418" i="2"/>
  <c r="D90" i="2"/>
  <c r="C49" i="2"/>
  <c r="J1217" i="2"/>
  <c r="F1215" i="2"/>
  <c r="F1216" i="2" s="1"/>
  <c r="J47" i="2"/>
  <c r="J48" i="2" s="1"/>
  <c r="H828" i="2"/>
  <c r="K705" i="2"/>
  <c r="D1082" i="2"/>
  <c r="G1217" i="2"/>
  <c r="D785" i="2"/>
  <c r="D786" i="2" s="1"/>
  <c r="H1080" i="2"/>
  <c r="H1081" i="2" s="1"/>
  <c r="K1217" i="2"/>
  <c r="J908" i="2"/>
  <c r="J909" i="2" s="1"/>
  <c r="K131" i="2"/>
  <c r="D49" i="2"/>
  <c r="K910" i="2"/>
  <c r="J129" i="2"/>
  <c r="J130" i="2" s="1"/>
  <c r="D47" i="2"/>
  <c r="D48" i="2" s="1"/>
  <c r="H908" i="2"/>
  <c r="H909" i="2" s="1"/>
  <c r="A38" i="1"/>
  <c r="G541" i="2"/>
  <c r="A63" i="1"/>
  <c r="A19" i="1"/>
  <c r="A18" i="1"/>
  <c r="D1172" i="2"/>
  <c r="B1035" i="2"/>
  <c r="B1036" i="2" s="1"/>
  <c r="K951" i="2"/>
  <c r="J949" i="2"/>
  <c r="J950" i="2" s="1"/>
  <c r="J211" i="2"/>
  <c r="J212" i="2" s="1"/>
  <c r="D664" i="2"/>
  <c r="B949" i="2"/>
  <c r="B950" i="2" s="1"/>
  <c r="C951" i="2"/>
  <c r="D744" i="2"/>
  <c r="D745" i="2" s="1"/>
  <c r="D662" i="2"/>
  <c r="D663" i="2" s="1"/>
  <c r="I1082" i="2"/>
  <c r="J170" i="2"/>
  <c r="J171" i="2" s="1"/>
  <c r="F1170" i="2"/>
  <c r="F1171" i="2" s="1"/>
  <c r="K213" i="2"/>
  <c r="J1037" i="2"/>
  <c r="K828" i="2"/>
  <c r="E746" i="2"/>
  <c r="F541" i="2"/>
  <c r="E1217" i="2"/>
  <c r="D1215" i="2"/>
  <c r="D1216" i="2" s="1"/>
  <c r="F746" i="2"/>
  <c r="C787" i="2"/>
  <c r="F498" i="2"/>
  <c r="F499" i="2" s="1"/>
  <c r="D293" i="2"/>
  <c r="D294" i="2" s="1"/>
  <c r="G746" i="2"/>
  <c r="A58" i="1"/>
  <c r="F90" i="2"/>
  <c r="H910" i="2"/>
  <c r="J459" i="2"/>
  <c r="H293" i="2"/>
  <c r="H294" i="2" s="1"/>
  <c r="F49" i="2"/>
  <c r="H295" i="2"/>
  <c r="J336" i="2"/>
  <c r="H1217" i="2"/>
  <c r="E828" i="2"/>
  <c r="I1172" i="2"/>
  <c r="B131" i="2"/>
  <c r="E1127" i="2"/>
  <c r="D416" i="2"/>
  <c r="D417" i="2" s="1"/>
  <c r="C664" i="2"/>
  <c r="A31" i="1"/>
  <c r="F623" i="2"/>
  <c r="A69" i="1"/>
  <c r="J867" i="2"/>
  <c r="J868" i="2" s="1"/>
  <c r="G1082" i="2"/>
  <c r="B662" i="2"/>
  <c r="B663" i="2" s="1"/>
  <c r="I1217" i="2"/>
  <c r="A51" i="1"/>
  <c r="H705" i="2"/>
  <c r="I1127" i="2"/>
  <c r="J869" i="2"/>
  <c r="J6" i="2"/>
  <c r="J7" i="2" s="1"/>
  <c r="B785" i="2"/>
  <c r="B786" i="2" s="1"/>
  <c r="D1125" i="2"/>
  <c r="D1126" i="2" s="1"/>
  <c r="F500" i="2"/>
  <c r="C131" i="2"/>
  <c r="C418" i="2"/>
  <c r="A23" i="1"/>
  <c r="J1080" i="2"/>
  <c r="J1081" i="2" s="1"/>
  <c r="A47" i="1"/>
  <c r="A43" i="1"/>
  <c r="G992" i="2"/>
  <c r="J1082" i="2"/>
  <c r="B705" i="2"/>
  <c r="D705" i="2"/>
  <c r="J992" i="2"/>
  <c r="K664" i="2"/>
  <c r="B746" i="2"/>
  <c r="B8" i="2"/>
  <c r="C705" i="2"/>
  <c r="K8" i="2"/>
  <c r="F1082" i="2"/>
  <c r="H1125" i="2"/>
  <c r="H1126" i="2" s="1"/>
  <c r="B744" i="2"/>
  <c r="B745" i="2" s="1"/>
  <c r="A44" i="1"/>
  <c r="D703" i="2"/>
  <c r="D704" i="2" s="1"/>
  <c r="J662" i="2"/>
  <c r="J663" i="2" s="1"/>
  <c r="B6" i="2"/>
  <c r="B7" i="2" s="1"/>
  <c r="I336" i="2"/>
  <c r="G213" i="2"/>
  <c r="B1125" i="2"/>
  <c r="B1126" i="2" s="1"/>
  <c r="D826" i="2"/>
  <c r="D827" i="2" s="1"/>
  <c r="K336" i="2"/>
  <c r="H1172" i="2"/>
  <c r="J990" i="2"/>
  <c r="J991" i="2" s="1"/>
  <c r="F1125" i="2"/>
  <c r="F1126" i="2" s="1"/>
  <c r="A32" i="1"/>
  <c r="H703" i="2"/>
  <c r="H704" i="2" s="1"/>
  <c r="K90" i="2"/>
  <c r="F1127" i="2"/>
  <c r="A35" i="1"/>
  <c r="A57" i="1"/>
  <c r="D334" i="2"/>
  <c r="D335" i="2" s="1"/>
  <c r="J88" i="2"/>
  <c r="J89" i="2" s="1"/>
  <c r="E295" i="2"/>
  <c r="A16" i="1"/>
  <c r="D377" i="2"/>
  <c r="J826" i="2"/>
  <c r="J827" i="2" s="1"/>
  <c r="D375" i="2"/>
  <c r="D376" i="2" s="1"/>
  <c r="J49" i="2"/>
  <c r="I1037" i="2"/>
  <c r="K254" i="2"/>
  <c r="H498" i="2"/>
  <c r="H499" i="2" s="1"/>
  <c r="A9" i="1"/>
  <c r="A10" i="1"/>
  <c r="B826" i="2"/>
  <c r="B827" i="2" s="1"/>
  <c r="H1035" i="2"/>
  <c r="H1036" i="2" s="1"/>
  <c r="C828" i="2"/>
  <c r="E541" i="2"/>
  <c r="C295" i="2"/>
  <c r="B1037" i="2"/>
  <c r="I254" i="2"/>
  <c r="A34" i="1"/>
  <c r="F951" i="2"/>
  <c r="G951" i="2"/>
  <c r="A22" i="1"/>
  <c r="A36" i="1"/>
  <c r="A70" i="1"/>
  <c r="A62" i="1"/>
  <c r="H746" i="2"/>
  <c r="H744" i="2"/>
  <c r="H745" i="2" s="1"/>
  <c r="H334" i="2"/>
  <c r="H335" i="2" s="1"/>
  <c r="A6" i="1"/>
  <c r="F126" i="1" a="1"/>
  <c r="F126" i="1" s="1"/>
  <c r="R126" i="1" a="1"/>
  <c r="R126" i="1" s="1"/>
  <c r="P126" i="1" a="1"/>
  <c r="P126" i="1" s="1"/>
  <c r="N126" i="1" a="1"/>
  <c r="N126" i="1" s="1"/>
  <c r="L126" i="1" a="1"/>
  <c r="L126" i="1" s="1"/>
  <c r="J126" i="1" a="1"/>
  <c r="J126" i="1" s="1"/>
  <c r="H126" i="1" a="1"/>
  <c r="H126" i="1" s="1"/>
  <c r="D126" i="1" a="1"/>
  <c r="D126" i="1" s="1"/>
  <c r="E1037" i="2"/>
  <c r="D539" i="2"/>
  <c r="D540" i="2" s="1"/>
  <c r="A46" i="1"/>
  <c r="K377" i="2"/>
  <c r="J375" i="2"/>
  <c r="J376" i="2" s="1"/>
  <c r="J541" i="2"/>
  <c r="D418" i="2"/>
  <c r="J539" i="2"/>
  <c r="J540" i="2" s="1"/>
  <c r="F664" i="2"/>
  <c r="F992" i="2"/>
  <c r="J295" i="2"/>
  <c r="A60" i="1"/>
  <c r="I213" i="2"/>
  <c r="F662" i="2"/>
  <c r="F663" i="2" s="1"/>
  <c r="J293" i="2"/>
  <c r="J294" i="2" s="1"/>
  <c r="J744" i="2"/>
  <c r="J745" i="2" s="1"/>
  <c r="A53" i="1"/>
  <c r="A66" i="1"/>
  <c r="F213" i="2"/>
  <c r="A42" i="1"/>
  <c r="A21" i="1"/>
  <c r="A37" i="1"/>
  <c r="A17" i="1"/>
  <c r="A65" i="1"/>
  <c r="J457" i="2"/>
  <c r="J458" i="2" s="1"/>
  <c r="K1037" i="2"/>
  <c r="J172" i="2"/>
  <c r="A12" i="1"/>
  <c r="B623" i="2"/>
  <c r="B621" i="2"/>
  <c r="B622" i="2" s="1"/>
  <c r="A39" i="1"/>
  <c r="D1170" i="2"/>
  <c r="D1171" i="2" s="1"/>
  <c r="H580" i="2"/>
  <c r="H581" i="2" s="1"/>
  <c r="A7" i="1"/>
  <c r="I623" i="2"/>
  <c r="H621" i="2"/>
  <c r="H622" i="2" s="1"/>
  <c r="A25" i="1"/>
  <c r="G90" i="2"/>
  <c r="F8" i="2"/>
  <c r="D623" i="2"/>
  <c r="K746" i="2"/>
  <c r="H211" i="2"/>
  <c r="H212" i="2" s="1"/>
  <c r="F131" i="2"/>
  <c r="H951" i="2"/>
  <c r="J1127" i="2"/>
  <c r="A59" i="1"/>
  <c r="H949" i="2"/>
  <c r="H950" i="2" s="1"/>
  <c r="G8" i="2"/>
  <c r="E623" i="2"/>
  <c r="G131" i="2"/>
  <c r="K1127" i="2"/>
  <c r="J582" i="2"/>
  <c r="G623" i="2"/>
  <c r="A14" i="1"/>
  <c r="A55" i="1"/>
  <c r="A26" i="1"/>
  <c r="G254" i="2"/>
  <c r="D787" i="2"/>
  <c r="H662" i="2"/>
  <c r="H663" i="2" s="1"/>
  <c r="F336" i="2"/>
  <c r="G336" i="2"/>
  <c r="C500" i="2"/>
  <c r="B1127" i="2"/>
  <c r="B500" i="2"/>
  <c r="F295" i="2"/>
  <c r="D867" i="2"/>
  <c r="D868" i="2" s="1"/>
  <c r="B1170" i="2"/>
  <c r="B1171" i="2" s="1"/>
  <c r="B213" i="2"/>
  <c r="J1170" i="2"/>
  <c r="J1171" i="2" s="1"/>
  <c r="B1172" i="2"/>
  <c r="B990" i="2"/>
  <c r="B991" i="2" s="1"/>
  <c r="B910" i="2"/>
  <c r="B211" i="2"/>
  <c r="B212" i="2" s="1"/>
  <c r="J1172" i="2"/>
  <c r="H541" i="2"/>
  <c r="C992" i="2"/>
  <c r="B908" i="2"/>
  <c r="B909" i="2" s="1"/>
  <c r="H47" i="2"/>
  <c r="H48" i="2" s="1"/>
  <c r="H785" i="2"/>
  <c r="H786" i="2" s="1"/>
  <c r="H170" i="2"/>
  <c r="H171" i="2" s="1"/>
  <c r="F293" i="2"/>
  <c r="F294" i="2" s="1"/>
  <c r="H992" i="2"/>
  <c r="J500" i="2"/>
  <c r="D254" i="2"/>
  <c r="E254" i="2"/>
  <c r="G582" i="2"/>
  <c r="F170" i="2"/>
  <c r="F171" i="2" s="1"/>
  <c r="D213" i="2"/>
  <c r="F580" i="2"/>
  <c r="F581" i="2" s="1"/>
  <c r="B254" i="2"/>
  <c r="G172" i="2"/>
  <c r="B869" i="2"/>
  <c r="E213" i="2"/>
  <c r="H49" i="2"/>
  <c r="B867" i="2"/>
  <c r="B868" i="2" s="1"/>
  <c r="F703" i="2"/>
  <c r="F704" i="2" s="1"/>
  <c r="H459" i="2"/>
  <c r="H457" i="2"/>
  <c r="H458" i="2" s="1"/>
  <c r="B252" i="2"/>
  <c r="B253" i="2" s="1"/>
  <c r="F867" i="2"/>
  <c r="F868" i="2" s="1"/>
  <c r="D6" i="2"/>
  <c r="D7" i="2" s="1"/>
  <c r="E8" i="2"/>
  <c r="B1082" i="2"/>
  <c r="G869" i="2"/>
  <c r="I172" i="2"/>
  <c r="F457" i="2"/>
  <c r="F458" i="2" s="1"/>
  <c r="K500" i="2"/>
  <c r="E131" i="2"/>
  <c r="E172" i="2"/>
  <c r="B416" i="2"/>
  <c r="B417" i="2" s="1"/>
  <c r="K582" i="2"/>
  <c r="I787" i="2"/>
  <c r="B1215" i="2"/>
  <c r="B1216" i="2" s="1"/>
  <c r="I131" i="2"/>
  <c r="H500" i="2"/>
  <c r="C377" i="2"/>
  <c r="A68" i="1"/>
  <c r="D129" i="2"/>
  <c r="D130" i="2" s="1"/>
  <c r="D170" i="2"/>
  <c r="D171" i="2" s="1"/>
  <c r="B90" i="2"/>
  <c r="C1217" i="2"/>
  <c r="H131" i="2"/>
  <c r="B377" i="2"/>
  <c r="A40" i="1"/>
  <c r="I541" i="2"/>
  <c r="F418" i="2"/>
  <c r="H90" i="2"/>
  <c r="B88" i="2"/>
  <c r="B89" i="2" s="1"/>
  <c r="G828" i="2"/>
  <c r="J785" i="2"/>
  <c r="J786" i="2" s="1"/>
  <c r="A50" i="1"/>
  <c r="A54" i="1"/>
  <c r="G418" i="2"/>
  <c r="H88" i="2"/>
  <c r="H89" i="2" s="1"/>
  <c r="J623" i="2"/>
  <c r="F826" i="2"/>
  <c r="F827" i="2" s="1"/>
  <c r="D992" i="2"/>
  <c r="A67" i="1"/>
  <c r="H582" i="2"/>
  <c r="D1035" i="2"/>
  <c r="D1036" i="2" s="1"/>
  <c r="J254" i="2"/>
  <c r="J621" i="2"/>
  <c r="J622" i="2" s="1"/>
  <c r="E992" i="2"/>
  <c r="F705" i="2"/>
  <c r="C623" i="2"/>
  <c r="F47" i="2"/>
  <c r="F48" i="2" s="1"/>
  <c r="A28" i="1"/>
  <c r="D459" i="2"/>
  <c r="E869" i="2"/>
  <c r="H664" i="2"/>
  <c r="F908" i="2"/>
  <c r="F909" i="2" s="1"/>
  <c r="F252" i="2"/>
  <c r="F253" i="2" s="1"/>
  <c r="F459" i="2"/>
  <c r="K787" i="2"/>
  <c r="D951" i="2"/>
  <c r="A30" i="1"/>
  <c r="E951" i="2"/>
  <c r="B295" i="2"/>
  <c r="H375" i="2"/>
  <c r="H376" i="2" s="1"/>
  <c r="F910" i="2"/>
  <c r="B582" i="2"/>
  <c r="G787" i="2"/>
  <c r="E459" i="2"/>
  <c r="H377" i="2"/>
  <c r="C582" i="2"/>
  <c r="B541" i="2"/>
  <c r="A33" i="1"/>
  <c r="C336" i="2"/>
  <c r="D336" i="2"/>
  <c r="H254" i="2"/>
  <c r="B336" i="2"/>
  <c r="A11" i="1"/>
  <c r="A27" i="1"/>
  <c r="E500" i="2"/>
  <c r="I869" i="2"/>
  <c r="A56" i="1"/>
  <c r="A15" i="1"/>
  <c r="B1080" i="2"/>
  <c r="B1081" i="2" s="1"/>
  <c r="B457" i="2"/>
  <c r="B458" i="2" s="1"/>
  <c r="B459" i="2"/>
  <c r="C459" i="2"/>
  <c r="A29" i="1"/>
  <c r="D500" i="2"/>
  <c r="A8" i="1"/>
  <c r="A48" i="1"/>
  <c r="H623" i="2"/>
  <c r="I418" i="2"/>
  <c r="H990" i="2"/>
  <c r="H991" i="2" s="1"/>
  <c r="A64" i="1"/>
  <c r="A61" i="1"/>
  <c r="F377" i="2"/>
  <c r="A13" i="1"/>
  <c r="A49" i="1"/>
  <c r="D582" i="2"/>
  <c r="E582" i="2"/>
  <c r="D580" i="2"/>
  <c r="D581" i="2" s="1"/>
  <c r="H418" i="2"/>
  <c r="H869" i="2"/>
  <c r="F787" i="2"/>
  <c r="C541" i="2"/>
  <c r="B172" i="2"/>
  <c r="C172" i="2"/>
  <c r="B170" i="2"/>
  <c r="B171" i="2" s="1"/>
  <c r="A24" i="1"/>
  <c r="A41" i="1"/>
  <c r="G377" i="2"/>
  <c r="A45" i="1"/>
  <c r="G1037" i="2"/>
  <c r="F1037" i="2"/>
  <c r="F1035" i="2"/>
  <c r="F1036" i="2" s="1"/>
  <c r="A52" i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<sst xmlns="http://schemas.openxmlformats.org/spreadsheetml/2006/main" count="208" uniqueCount="76">
  <si>
    <t>Dalībnieki</t>
  </si>
  <si>
    <t>Kopvērtējums</t>
  </si>
  <si>
    <t>LP</t>
  </si>
  <si>
    <t>MP</t>
  </si>
  <si>
    <t>Germans Romanovs</t>
  </si>
  <si>
    <t>Ilgonis Stumbenis</t>
  </si>
  <si>
    <t>Ronalds Mežals</t>
  </si>
  <si>
    <t>Agris Ozoliņš</t>
  </si>
  <si>
    <t>Jānis Pliskovs</t>
  </si>
  <si>
    <t>Artūrs Černauskis</t>
  </si>
  <si>
    <t>Grigorijs Kozļakovskis</t>
  </si>
  <si>
    <t>Juris Dzvinko</t>
  </si>
  <si>
    <t>Agris Pumpucs</t>
  </si>
  <si>
    <t>Andris Ponciuss</t>
  </si>
  <si>
    <t>Andris Mugurēvičs</t>
  </si>
  <si>
    <t>Raivis Kauliņš</t>
  </si>
  <si>
    <t>Jānis Savielis</t>
  </si>
  <si>
    <t>Atis Kripans</t>
  </si>
  <si>
    <t>Dainis Stollers</t>
  </si>
  <si>
    <t>Maksims Nikolajevs</t>
  </si>
  <si>
    <t>Ivars Prēdājs</t>
  </si>
  <si>
    <t>Ivars Vilemsons</t>
  </si>
  <si>
    <t>Aivars Helanderis</t>
  </si>
  <si>
    <t>Egīls Baltcers</t>
  </si>
  <si>
    <t>Normunds Dāvidsons</t>
  </si>
  <si>
    <t>Arnolds Strazdiņš</t>
  </si>
  <si>
    <t>Andris Loginovs</t>
  </si>
  <si>
    <t>Edgars Auders</t>
  </si>
  <si>
    <t>Rūdolfs Riekstiņš</t>
  </si>
  <si>
    <t>Baiba Liepiņa</t>
  </si>
  <si>
    <t>Laila Ķibilde</t>
  </si>
  <si>
    <t>Verners Šenbergs</t>
  </si>
  <si>
    <t>Ojārs Petrēvics</t>
  </si>
  <si>
    <t>Reinis Kalnbērziņš</t>
  </si>
  <si>
    <t>Elgars Sapats</t>
  </si>
  <si>
    <t>Vladimirs Kovaļkovs</t>
  </si>
  <si>
    <t>Linda Upmale</t>
  </si>
  <si>
    <t>Ģirts Sedlenieks</t>
  </si>
  <si>
    <t>Aigars Tipāns</t>
  </si>
  <si>
    <t>Aivo Puzulis</t>
  </si>
  <si>
    <t>Māris Paeglis</t>
  </si>
  <si>
    <t>Agris Bergmanis</t>
  </si>
  <si>
    <t>Leons Vigulis</t>
  </si>
  <si>
    <t>Jānis Podračiks</t>
  </si>
  <si>
    <t>Intars Gulbis</t>
  </si>
  <si>
    <t>Igors Vistiņš</t>
  </si>
  <si>
    <t>Vilnis Pelcers</t>
  </si>
  <si>
    <t>Kaspars Ķēniņš</t>
  </si>
  <si>
    <t>Fjodors Semjonovs</t>
  </si>
  <si>
    <t>Dace Fišere</t>
  </si>
  <si>
    <t>Mareks Zeile</t>
  </si>
  <si>
    <t>Uldis Ķibilds</t>
  </si>
  <si>
    <t>Juris Dreimanis</t>
  </si>
  <si>
    <t>Krišjānis Penka</t>
  </si>
  <si>
    <t>Liene Benhena</t>
  </si>
  <si>
    <t>Āris Ozoliņš</t>
  </si>
  <si>
    <t>Valdis Merkurjevs</t>
  </si>
  <si>
    <t>Guntis Kuzmins</t>
  </si>
  <si>
    <t>Māris Gornostejs</t>
  </si>
  <si>
    <t>Andris Vītoliņš</t>
  </si>
  <si>
    <t>Viesturs Strūka</t>
  </si>
  <si>
    <t>Linards Ruņģis</t>
  </si>
  <si>
    <t>Kārta Nr.</t>
  </si>
  <si>
    <t>Galds</t>
  </si>
  <si>
    <t>LP/MP</t>
  </si>
  <si>
    <t xml:space="preserve"> </t>
  </si>
  <si>
    <t>Pules</t>
  </si>
  <si>
    <t>Valdis Ozoliņš</t>
  </si>
  <si>
    <t>Ilgvars Gritāns</t>
  </si>
  <si>
    <t>Gints Krauklis</t>
  </si>
  <si>
    <t>Raimonds Skuja</t>
  </si>
  <si>
    <t>Aivars Putāns</t>
  </si>
  <si>
    <t>V. A. Krauklis</t>
  </si>
  <si>
    <t>Dizšvētku Zolītes finālturnīrs Valkā 2026 (RONDO)</t>
  </si>
  <si>
    <t>Uldis Vēveris</t>
  </si>
  <si>
    <t>Vieta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</si>
</sst>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1">
    <font>
      <sz val="11"/>
      <color theme="1"/>
      <name val="Calibri"/>
    </font>
    <font>
      <sz val="10"/>
      <name val="Arial"/>
    </font>
    <font>
      <b/>
      <sz val="8"/>
      <name val="Bookman Old Style"/>
    </font>
    <font>
      <b/>
      <sz val="10"/>
      <name val="Bookman Old Style"/>
    </font>
    <font>
      <sz val="10"/>
      <name val="Bookman Old Style"/>
    </font>
    <font>
      <sz val="8"/>
      <name val="Bookman Old Style"/>
    </font>
    <font>
      <sz val="7"/>
      <name val="Bookman Old Style"/>
    </font>
    <font>
      <sz val="14"/>
      <name val="Bookman Old Style"/>
    </font>
    <font>
      <sz val="10"/>
      <color theme="1"/>
      <name val="Calibri"/>
    </font>
    <font>
      <sz val="8"/>
      <color theme="1"/>
      <name val="Calibri"/>
    </font>
    <font>
      <b/>
      <sz val="8"/>
      <name val="Arial"/>
    </font>
    <font>
      <sz val="8"/>
      <name val="Arial"/>
    </font>
    <font>
      <sz val="10"/>
      <name val="Calibri"/>
    </font>
    <font>
      <sz val="7"/>
      <name val="Bookman Old Style"/>
      <family val="1"/>
      <charset val="186"/>
    </font>
    <font>
      <sz val="9"/>
      <name val="Arial"/>
      <family val="2"/>
      <charset val="186"/>
    </font>
    <font>
      <sz val="10"/>
      <color theme="1"/>
      <name val="Arial Unicode MS"/>
    </font>
    <font>
      <b/>
      <sz val="8"/>
      <color rgb="FFFF0000"/>
      <name val="Bookman Old Style"/>
      <family val="1"/>
      <charset val="186"/>
    </font>
    <font>
      <sz val="8"/>
      <color rgb="FFFF0000"/>
      <name val="Bookman Old Style"/>
      <family val="1"/>
      <charset val="186"/>
    </font>
    <font>
      <sz val="9"/>
      <color rgb="FFFF0000"/>
      <name val="Arial"/>
      <family val="2"/>
      <charset val="186"/>
    </font>
    <font>
      <b/>
      <sz val="8"/>
      <name val="Bookman Old Style"/>
      <family val="1"/>
      <charset val="186"/>
    </font>
    <font>
      <sz val="11"/>
      <color theme="1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00"/>
      </patternFill>
    </fill>
    <fill>
      <patternFill patternType="solid">
        <fgColor theme="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1" fontId="5" fillId="0" borderId="0" xfId="2" applyNumberFormat="1" applyFont="1"/>
    <xf numFmtId="0" fontId="5" fillId="0" borderId="0" xfId="2" applyFont="1"/>
    <xf numFmtId="165" fontId="7" fillId="0" borderId="0" xfId="1" applyNumberFormat="1" applyFont="1"/>
    <xf numFmtId="164" fontId="5" fillId="0" borderId="0" xfId="1" applyFont="1"/>
    <xf numFmtId="164" fontId="6" fillId="0" borderId="0" xfId="1" applyFont="1"/>
    <xf numFmtId="0" fontId="5" fillId="0" borderId="10" xfId="2" applyFont="1" applyBorder="1"/>
    <xf numFmtId="0" fontId="8" fillId="0" borderId="0" xfId="0" applyFont="1"/>
    <xf numFmtId="3" fontId="4" fillId="0" borderId="1" xfId="1" applyNumberFormat="1" applyFont="1" applyBorder="1" applyAlignment="1">
      <alignment horizontal="center"/>
    </xf>
    <xf numFmtId="0" fontId="9" fillId="0" borderId="0" xfId="0" applyFont="1"/>
    <xf numFmtId="0" fontId="2" fillId="2" borderId="0" xfId="2" applyFont="1" applyFill="1" applyAlignment="1">
      <alignment horizontal="center"/>
    </xf>
    <xf numFmtId="0" fontId="2" fillId="0" borderId="0" xfId="2" applyFont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1" fontId="11" fillId="2" borderId="8" xfId="0" applyNumberFormat="1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9" fillId="2" borderId="0" xfId="0" applyFont="1" applyFill="1"/>
    <xf numFmtId="0" fontId="2" fillId="2" borderId="1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9" fillId="0" borderId="1" xfId="0" applyFont="1" applyBorder="1"/>
    <xf numFmtId="0" fontId="5" fillId="2" borderId="2" xfId="2" applyFont="1" applyFill="1" applyBorder="1" applyAlignment="1">
      <alignment horizontal="center"/>
    </xf>
    <xf numFmtId="1" fontId="10" fillId="2" borderId="9" xfId="0" applyNumberFormat="1" applyFont="1" applyFill="1" applyBorder="1" applyAlignment="1">
      <alignment horizontal="center"/>
    </xf>
    <xf numFmtId="0" fontId="2" fillId="2" borderId="13" xfId="2" applyFont="1" applyFill="1" applyBorder="1" applyAlignment="1">
      <alignment horizontal="center"/>
    </xf>
    <xf numFmtId="0" fontId="5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1" fontId="10" fillId="2" borderId="15" xfId="0" applyNumberFormat="1" applyFont="1" applyFill="1" applyBorder="1" applyAlignment="1">
      <alignment horizontal="center"/>
    </xf>
    <xf numFmtId="1" fontId="11" fillId="2" borderId="16" xfId="0" applyNumberFormat="1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 wrapText="1"/>
    </xf>
    <xf numFmtId="0" fontId="2" fillId="2" borderId="16" xfId="2" applyFont="1" applyFill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8" xfId="2" applyFont="1" applyFill="1" applyBorder="1" applyAlignment="1">
      <alignment horizontal="center"/>
    </xf>
    <xf numFmtId="0" fontId="2" fillId="2" borderId="19" xfId="2" applyFont="1" applyFill="1" applyBorder="1" applyAlignment="1">
      <alignment horizontal="center"/>
    </xf>
    <xf numFmtId="1" fontId="2" fillId="2" borderId="20" xfId="2" applyNumberFormat="1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0" fontId="5" fillId="2" borderId="20" xfId="2" applyFont="1" applyFill="1" applyBorder="1" applyAlignment="1">
      <alignment horizontal="center"/>
    </xf>
    <xf numFmtId="1" fontId="9" fillId="0" borderId="0" xfId="0" applyNumberFormat="1" applyFont="1"/>
    <xf numFmtId="0" fontId="8" fillId="0" borderId="0" xfId="0" applyFont="1" applyAlignment="1">
      <alignment horizontal="right"/>
    </xf>
    <xf numFmtId="0" fontId="9" fillId="3" borderId="0" xfId="0" applyFont="1" applyFill="1"/>
    <xf numFmtId="0" fontId="8" fillId="0" borderId="0" xfId="0" applyFont="1" applyAlignment="1">
      <alignment horizontal="left"/>
    </xf>
    <xf numFmtId="0" fontId="9" fillId="0" borderId="0" xfId="0" applyFont="1" applyAlignment="1">
      <alignment vertical="top"/>
    </xf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8" fillId="2" borderId="1" xfId="0" applyFont="1" applyFill="1" applyBorder="1" applyAlignment="1">
      <alignment horizontal="left" vertical="top"/>
    </xf>
    <xf numFmtId="0" fontId="12" fillId="2" borderId="1" xfId="2" applyFont="1" applyFill="1" applyBorder="1" applyAlignment="1">
      <alignment horizontal="left" vertical="top"/>
    </xf>
    <xf numFmtId="0" fontId="8" fillId="2" borderId="1" xfId="0" applyFont="1" applyFill="1" applyBorder="1"/>
    <xf numFmtId="0" fontId="12" fillId="4" borderId="1" xfId="0" applyFont="1" applyFill="1" applyBorder="1" applyAlignment="1">
      <alignment horizontal="left" vertical="top" wrapText="1"/>
    </xf>
    <xf numFmtId="0" fontId="2" fillId="2" borderId="25" xfId="2" applyFont="1" applyFill="1" applyBorder="1" applyAlignment="1">
      <alignment horizontal="center"/>
    </xf>
    <xf numFmtId="0" fontId="5" fillId="2" borderId="26" xfId="2" applyFont="1" applyFill="1" applyBorder="1" applyAlignment="1">
      <alignment horizontal="center"/>
    </xf>
    <xf numFmtId="1" fontId="2" fillId="2" borderId="7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2" fillId="0" borderId="27" xfId="2" applyFont="1" applyBorder="1" applyAlignment="1">
      <alignment horizontal="center"/>
    </xf>
    <xf numFmtId="0" fontId="2" fillId="2" borderId="29" xfId="2" applyFont="1" applyFill="1" applyBorder="1" applyAlignment="1">
      <alignment horizontal="center"/>
    </xf>
    <xf numFmtId="0" fontId="5" fillId="2" borderId="30" xfId="2" applyFont="1" applyFill="1" applyBorder="1" applyAlignment="1">
      <alignment horizontal="center"/>
    </xf>
    <xf numFmtId="0" fontId="2" fillId="2" borderId="31" xfId="2" applyFont="1" applyFill="1" applyBorder="1" applyAlignment="1">
      <alignment horizontal="center"/>
    </xf>
    <xf numFmtId="0" fontId="5" fillId="2" borderId="32" xfId="2" applyFont="1" applyFill="1" applyBorder="1" applyAlignment="1">
      <alignment horizontal="center"/>
    </xf>
    <xf numFmtId="1" fontId="2" fillId="2" borderId="28" xfId="2" applyNumberFormat="1" applyFont="1" applyFill="1" applyBorder="1" applyAlignment="1">
      <alignment horizontal="center"/>
    </xf>
    <xf numFmtId="0" fontId="5" fillId="2" borderId="28" xfId="2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27" xfId="0" applyFont="1" applyBorder="1" applyAlignment="1">
      <alignment horizontal="center" vertical="top" wrapText="1"/>
    </xf>
    <xf numFmtId="164" fontId="4" fillId="0" borderId="0" xfId="1" applyFont="1" applyBorder="1" applyAlignment="1"/>
    <xf numFmtId="164" fontId="13" fillId="0" borderId="11" xfId="1" applyFont="1" applyBorder="1" applyAlignment="1"/>
    <xf numFmtId="164" fontId="13" fillId="0" borderId="12" xfId="1" applyFont="1" applyBorder="1" applyAlignment="1"/>
    <xf numFmtId="0" fontId="14" fillId="0" borderId="1" xfId="0" applyFont="1" applyBorder="1"/>
    <xf numFmtId="0" fontId="15" fillId="0" borderId="0" xfId="0" applyFont="1" applyAlignment="1">
      <alignment vertical="center"/>
    </xf>
    <xf numFmtId="0" fontId="16" fillId="2" borderId="3" xfId="2" applyFont="1" applyFill="1" applyBorder="1" applyAlignment="1">
      <alignment horizontal="center"/>
    </xf>
    <xf numFmtId="0" fontId="17" fillId="2" borderId="10" xfId="2" applyFont="1" applyFill="1" applyBorder="1" applyAlignment="1">
      <alignment horizontal="center"/>
    </xf>
    <xf numFmtId="0" fontId="16" fillId="2" borderId="15" xfId="2" applyFont="1" applyFill="1" applyBorder="1" applyAlignment="1">
      <alignment horizontal="center"/>
    </xf>
    <xf numFmtId="0" fontId="17" fillId="2" borderId="16" xfId="2" applyFont="1" applyFill="1" applyBorder="1" applyAlignment="1">
      <alignment horizontal="center"/>
    </xf>
    <xf numFmtId="0" fontId="16" fillId="2" borderId="9" xfId="2" applyFont="1" applyFill="1" applyBorder="1" applyAlignment="1">
      <alignment horizontal="center"/>
    </xf>
    <xf numFmtId="0" fontId="17" fillId="2" borderId="8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18" fillId="0" borderId="1" xfId="0" applyFont="1" applyBorder="1"/>
    <xf numFmtId="0" fontId="14" fillId="0" borderId="33" xfId="0" applyFont="1" applyBorder="1"/>
    <xf numFmtId="0" fontId="18" fillId="0" borderId="7" xfId="0" applyFont="1" applyBorder="1"/>
    <xf numFmtId="0" fontId="18" fillId="0" borderId="28" xfId="0" applyFont="1" applyBorder="1"/>
    <xf numFmtId="0" fontId="16" fillId="2" borderId="29" xfId="2" applyFont="1" applyFill="1" applyBorder="1" applyAlignment="1">
      <alignment horizontal="center"/>
    </xf>
    <xf numFmtId="0" fontId="17" fillId="2" borderId="30" xfId="2" applyFont="1" applyFill="1" applyBorder="1" applyAlignment="1">
      <alignment horizontal="center"/>
    </xf>
    <xf numFmtId="0" fontId="16" fillId="2" borderId="31" xfId="2" applyFont="1" applyFill="1" applyBorder="1" applyAlignment="1">
      <alignment horizontal="center"/>
    </xf>
    <xf numFmtId="0" fontId="17" fillId="2" borderId="32" xfId="2" applyFont="1" applyFill="1" applyBorder="1" applyAlignment="1">
      <alignment horizontal="center"/>
    </xf>
    <xf numFmtId="0" fontId="16" fillId="2" borderId="5" xfId="2" applyFont="1" applyFill="1" applyBorder="1" applyAlignment="1">
      <alignment horizontal="center"/>
    </xf>
    <xf numFmtId="0" fontId="17" fillId="2" borderId="4" xfId="2" applyFont="1" applyFill="1" applyBorder="1" applyAlignment="1">
      <alignment horizontal="center"/>
    </xf>
    <xf numFmtId="0" fontId="16" fillId="2" borderId="25" xfId="2" applyFont="1" applyFill="1" applyBorder="1" applyAlignment="1">
      <alignment horizontal="center"/>
    </xf>
    <xf numFmtId="0" fontId="17" fillId="2" borderId="26" xfId="2" applyFont="1" applyFill="1" applyBorder="1" applyAlignment="1">
      <alignment horizontal="center"/>
    </xf>
    <xf numFmtId="0" fontId="19" fillId="2" borderId="15" xfId="2" applyFont="1" applyFill="1" applyBorder="1" applyAlignment="1">
      <alignment horizontal="center"/>
    </xf>
    <xf numFmtId="0" fontId="19" fillId="2" borderId="0" xfId="2" applyFont="1" applyFill="1" applyAlignment="1">
      <alignment horizontal="center"/>
    </xf>
    <xf numFmtId="0" fontId="2" fillId="2" borderId="1" xfId="2" applyFont="1" applyFill="1" applyBorder="1" applyAlignment="1">
      <alignment horizontal="center"/>
    </xf>
    <xf numFmtId="164" fontId="3" fillId="0" borderId="4" xfId="1" applyFont="1" applyBorder="1" applyAlignment="1">
      <alignment horizontal="center"/>
    </xf>
    <xf numFmtId="164" fontId="3" fillId="0" borderId="5" xfId="1" applyFont="1" applyBorder="1" applyAlignment="1">
      <alignment horizontal="center"/>
    </xf>
    <xf numFmtId="164" fontId="3" fillId="0" borderId="8" xfId="1" applyFont="1" applyBorder="1" applyAlignment="1">
      <alignment horizontal="center"/>
    </xf>
    <xf numFmtId="164" fontId="3" fillId="0" borderId="9" xfId="1" applyFont="1" applyBorder="1" applyAlignment="1">
      <alignment horizontal="center"/>
    </xf>
    <xf numFmtId="164" fontId="3" fillId="0" borderId="2" xfId="1" applyFont="1" applyBorder="1" applyAlignment="1">
      <alignment horizontal="center"/>
    </xf>
    <xf numFmtId="164" fontId="3" fillId="0" borderId="3" xfId="1" applyFont="1" applyBorder="1" applyAlignment="1">
      <alignment horizontal="center"/>
    </xf>
    <xf numFmtId="164" fontId="3" fillId="0" borderId="22" xfId="1" applyFont="1" applyBorder="1" applyAlignment="1">
      <alignment horizontal="center"/>
    </xf>
    <xf numFmtId="164" fontId="13" fillId="0" borderId="34" xfId="1" applyFont="1" applyBorder="1" applyAlignment="1">
      <alignment horizontal="center"/>
    </xf>
    <xf numFmtId="164" fontId="13" fillId="0" borderId="12" xfId="1" applyFont="1" applyBorder="1" applyAlignment="1">
      <alignment horizontal="center"/>
    </xf>
    <xf numFmtId="164" fontId="3" fillId="0" borderId="6" xfId="1" applyFont="1" applyBorder="1" applyAlignment="1">
      <alignment horizontal="center"/>
    </xf>
    <xf numFmtId="164" fontId="4" fillId="0" borderId="11" xfId="1" applyFont="1" applyBorder="1" applyAlignment="1">
      <alignment horizontal="center"/>
    </xf>
    <xf numFmtId="164" fontId="4" fillId="0" borderId="12" xfId="1" applyFont="1" applyBorder="1" applyAlignment="1">
      <alignment horizontal="center"/>
    </xf>
    <xf numFmtId="3" fontId="4" fillId="0" borderId="7" xfId="1" applyNumberFormat="1" applyFont="1" applyBorder="1" applyAlignment="1">
      <alignment horizontal="center"/>
    </xf>
    <xf numFmtId="3" fontId="4" fillId="0" borderId="1" xfId="1" applyNumberFormat="1" applyFont="1" applyBorder="1" applyAlignment="1">
      <alignment horizontal="center"/>
    </xf>
    <xf numFmtId="3" fontId="4" fillId="0" borderId="11" xfId="1" applyNumberFormat="1" applyFont="1" applyBorder="1" applyAlignment="1">
      <alignment horizontal="center"/>
    </xf>
    <xf numFmtId="3" fontId="4" fillId="0" borderId="12" xfId="1" applyNumberFormat="1" applyFont="1" applyBorder="1" applyAlignment="1">
      <alignment horizontal="center"/>
    </xf>
    <xf numFmtId="164" fontId="13" fillId="0" borderId="11" xfId="1" applyFont="1" applyBorder="1" applyAlignment="1">
      <alignment horizontal="center"/>
    </xf>
    <xf numFmtId="164" fontId="6" fillId="0" borderId="11" xfId="1" applyFont="1" applyBorder="1" applyAlignment="1">
      <alignment horizontal="center"/>
    </xf>
    <xf numFmtId="164" fontId="6" fillId="0" borderId="12" xfId="1" applyFont="1" applyBorder="1" applyAlignment="1">
      <alignment horizontal="center"/>
    </xf>
    <xf numFmtId="0" fontId="20" fillId="0" borderId="35" xfId="0" applyFont="1" applyBorder="1" applyAlignment="1">
      <alignment horizontal="center"/>
    </xf>
  </cellXfs>
  <cellStyles count="3">
    <cellStyle name="Comma_LKIK-2010-2011-kom" xfId="1" xr:uid="{00000000-0005-0000-0000-000000000000}"/>
    <cellStyle name="Normal" xfId="0" builtinId="0"/>
    <cellStyle name="Normal_LKIK-2010-2011-kom" xfId="2" xr:uid="{00000000-0005-0000-0000-000002000000}"/>
  </cellStyles>
  <dxfs count="6">
    <dxf>
      <font>
        <color theme="5" tint="-0.24994659260841701"/>
      </font>
      <fill>
        <patternFill>
          <bgColor rgb="FFFFCCCC"/>
        </patternFill>
      </fill>
    </dxf>
    <dxf>
      <fill>
        <patternFill>
          <bgColor theme="2" tint="-9.9948118533890809E-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128977</xdr:colOff>
      <xdr:row>0</xdr:row>
      <xdr:rowOff>0</xdr:rowOff>
    </xdr:from>
    <xdr:to>
      <xdr:col>12</xdr:col>
      <xdr:colOff>37775</xdr:colOff>
      <xdr:row>4</xdr:row>
      <xdr:rowOff>146539</xdr:rowOff>
    </xdr:to>
    <xdr:pic>
      <xdr:nvPicPr>
        <xdr:cNvPr id="2" name="/xl/media/image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10</xdr:col>
      <xdr:colOff>119510</xdr:colOff>
      <xdr:row>42</xdr:row>
      <xdr:rowOff>0</xdr:rowOff>
    </xdr:from>
    <xdr:to>
      <xdr:col>12</xdr:col>
      <xdr:colOff>28308</xdr:colOff>
      <xdr:row>46</xdr:row>
      <xdr:rowOff>146538</xdr:rowOff>
    </xdr:to>
    <xdr:pic>
      <xdr:nvPicPr>
        <xdr:cNvPr id="3" name="/xl/media/image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11</xdr:col>
      <xdr:colOff>65128</xdr:colOff>
      <xdr:row>83</xdr:row>
      <xdr:rowOff>0</xdr:rowOff>
    </xdr:from>
    <xdr:to>
      <xdr:col>12</xdr:col>
      <xdr:colOff>450176</xdr:colOff>
      <xdr:row>87</xdr:row>
      <xdr:rowOff>146539</xdr:rowOff>
    </xdr:to>
    <xdr:pic>
      <xdr:nvPicPr>
        <xdr:cNvPr id="4" name="/xl/media/image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11</xdr:col>
      <xdr:colOff>97693</xdr:colOff>
      <xdr:row>123</xdr:row>
      <xdr:rowOff>16282</xdr:rowOff>
    </xdr:from>
    <xdr:to>
      <xdr:col>13</xdr:col>
      <xdr:colOff>2681</xdr:colOff>
      <xdr:row>127</xdr:row>
      <xdr:rowOff>162820</xdr:rowOff>
    </xdr:to>
    <xdr:pic>
      <xdr:nvPicPr>
        <xdr:cNvPr id="5" name="/xl/media/image2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11</xdr:col>
      <xdr:colOff>105833</xdr:colOff>
      <xdr:row>165</xdr:row>
      <xdr:rowOff>0</xdr:rowOff>
    </xdr:from>
    <xdr:to>
      <xdr:col>13</xdr:col>
      <xdr:colOff>2420</xdr:colOff>
      <xdr:row>169</xdr:row>
      <xdr:rowOff>143445</xdr:rowOff>
    </xdr:to>
    <xdr:pic>
      <xdr:nvPicPr>
        <xdr:cNvPr id="6" name="/xl/media/image3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11</xdr:col>
      <xdr:colOff>73270</xdr:colOff>
      <xdr:row>206</xdr:row>
      <xdr:rowOff>0</xdr:rowOff>
    </xdr:from>
    <xdr:to>
      <xdr:col>12</xdr:col>
      <xdr:colOff>458318</xdr:colOff>
      <xdr:row>210</xdr:row>
      <xdr:rowOff>146539</xdr:rowOff>
    </xdr:to>
    <xdr:pic>
      <xdr:nvPicPr>
        <xdr:cNvPr id="7" name="/xl/media/image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11</xdr:col>
      <xdr:colOff>97693</xdr:colOff>
      <xdr:row>247</xdr:row>
      <xdr:rowOff>0</xdr:rowOff>
    </xdr:from>
    <xdr:to>
      <xdr:col>13</xdr:col>
      <xdr:colOff>2681</xdr:colOff>
      <xdr:row>251</xdr:row>
      <xdr:rowOff>146538</xdr:rowOff>
    </xdr:to>
    <xdr:pic>
      <xdr:nvPicPr>
        <xdr:cNvPr id="8" name="/xl/media/image2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11</xdr:col>
      <xdr:colOff>97693</xdr:colOff>
      <xdr:row>288</xdr:row>
      <xdr:rowOff>0</xdr:rowOff>
    </xdr:from>
    <xdr:to>
      <xdr:col>13</xdr:col>
      <xdr:colOff>2681</xdr:colOff>
      <xdr:row>292</xdr:row>
      <xdr:rowOff>146539</xdr:rowOff>
    </xdr:to>
    <xdr:pic>
      <xdr:nvPicPr>
        <xdr:cNvPr id="9" name="/xl/media/image2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11</xdr:col>
      <xdr:colOff>56988</xdr:colOff>
      <xdr:row>329</xdr:row>
      <xdr:rowOff>0</xdr:rowOff>
    </xdr:from>
    <xdr:to>
      <xdr:col>12</xdr:col>
      <xdr:colOff>442036</xdr:colOff>
      <xdr:row>333</xdr:row>
      <xdr:rowOff>146538</xdr:rowOff>
    </xdr:to>
    <xdr:pic>
      <xdr:nvPicPr>
        <xdr:cNvPr id="10" name="/xl/media/image2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11</xdr:col>
      <xdr:colOff>89552</xdr:colOff>
      <xdr:row>370</xdr:row>
      <xdr:rowOff>0</xdr:rowOff>
    </xdr:from>
    <xdr:to>
      <xdr:col>12</xdr:col>
      <xdr:colOff>474600</xdr:colOff>
      <xdr:row>374</xdr:row>
      <xdr:rowOff>146539</xdr:rowOff>
    </xdr:to>
    <xdr:pic>
      <xdr:nvPicPr>
        <xdr:cNvPr id="11" name="/xl/media/image2.jp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11</xdr:col>
      <xdr:colOff>73269</xdr:colOff>
      <xdr:row>411</xdr:row>
      <xdr:rowOff>0</xdr:rowOff>
    </xdr:from>
    <xdr:to>
      <xdr:col>12</xdr:col>
      <xdr:colOff>458317</xdr:colOff>
      <xdr:row>415</xdr:row>
      <xdr:rowOff>143445</xdr:rowOff>
    </xdr:to>
    <xdr:pic>
      <xdr:nvPicPr>
        <xdr:cNvPr id="12" name="/xl/media/image4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11</xdr:col>
      <xdr:colOff>81411</xdr:colOff>
      <xdr:row>452</xdr:row>
      <xdr:rowOff>0</xdr:rowOff>
    </xdr:from>
    <xdr:to>
      <xdr:col>12</xdr:col>
      <xdr:colOff>466459</xdr:colOff>
      <xdr:row>456</xdr:row>
      <xdr:rowOff>146539</xdr:rowOff>
    </xdr:to>
    <xdr:pic>
      <xdr:nvPicPr>
        <xdr:cNvPr id="13" name="/xl/media/image2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11</xdr:col>
      <xdr:colOff>113974</xdr:colOff>
      <xdr:row>493</xdr:row>
      <xdr:rowOff>0</xdr:rowOff>
    </xdr:from>
    <xdr:to>
      <xdr:col>14</xdr:col>
      <xdr:colOff>2941</xdr:colOff>
      <xdr:row>497</xdr:row>
      <xdr:rowOff>146539</xdr:rowOff>
    </xdr:to>
    <xdr:pic>
      <xdr:nvPicPr>
        <xdr:cNvPr id="14" name="/xl/media/image5.jp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11</xdr:col>
      <xdr:colOff>56988</xdr:colOff>
      <xdr:row>534</xdr:row>
      <xdr:rowOff>0</xdr:rowOff>
    </xdr:from>
    <xdr:to>
      <xdr:col>12</xdr:col>
      <xdr:colOff>442036</xdr:colOff>
      <xdr:row>538</xdr:row>
      <xdr:rowOff>143445</xdr:rowOff>
    </xdr:to>
    <xdr:pic>
      <xdr:nvPicPr>
        <xdr:cNvPr id="15" name="/xl/media/image4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11</xdr:col>
      <xdr:colOff>56988</xdr:colOff>
      <xdr:row>575</xdr:row>
      <xdr:rowOff>0</xdr:rowOff>
    </xdr:from>
    <xdr:to>
      <xdr:col>12</xdr:col>
      <xdr:colOff>442036</xdr:colOff>
      <xdr:row>579</xdr:row>
      <xdr:rowOff>146539</xdr:rowOff>
    </xdr:to>
    <xdr:pic>
      <xdr:nvPicPr>
        <xdr:cNvPr id="16" name="/xl/media/image2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616</xdr:row>
      <xdr:rowOff>0</xdr:rowOff>
    </xdr:from>
    <xdr:to>
      <xdr:col>12</xdr:col>
      <xdr:colOff>385048</xdr:colOff>
      <xdr:row>620</xdr:row>
      <xdr:rowOff>146538</xdr:rowOff>
    </xdr:to>
    <xdr:pic>
      <xdr:nvPicPr>
        <xdr:cNvPr id="17" name="/xl/media/image2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656</xdr:row>
      <xdr:rowOff>0</xdr:rowOff>
    </xdr:from>
    <xdr:to>
      <xdr:col>12</xdr:col>
      <xdr:colOff>385048</xdr:colOff>
      <xdr:row>660</xdr:row>
      <xdr:rowOff>146538</xdr:rowOff>
    </xdr:to>
    <xdr:pic>
      <xdr:nvPicPr>
        <xdr:cNvPr id="18" name="/xl/media/image2.jp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697</xdr:row>
      <xdr:rowOff>0</xdr:rowOff>
    </xdr:from>
    <xdr:to>
      <xdr:col>12</xdr:col>
      <xdr:colOff>385048</xdr:colOff>
      <xdr:row>701</xdr:row>
      <xdr:rowOff>146538</xdr:rowOff>
    </xdr:to>
    <xdr:pic>
      <xdr:nvPicPr>
        <xdr:cNvPr id="19" name="/xl/media/image2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738</xdr:row>
      <xdr:rowOff>0</xdr:rowOff>
    </xdr:from>
    <xdr:to>
      <xdr:col>12</xdr:col>
      <xdr:colOff>385048</xdr:colOff>
      <xdr:row>742</xdr:row>
      <xdr:rowOff>146538</xdr:rowOff>
    </xdr:to>
    <xdr:pic>
      <xdr:nvPicPr>
        <xdr:cNvPr id="20" name="/xl/media/image2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779</xdr:row>
      <xdr:rowOff>0</xdr:rowOff>
    </xdr:from>
    <xdr:to>
      <xdr:col>12</xdr:col>
      <xdr:colOff>385048</xdr:colOff>
      <xdr:row>783</xdr:row>
      <xdr:rowOff>146538</xdr:rowOff>
    </xdr:to>
    <xdr:pic>
      <xdr:nvPicPr>
        <xdr:cNvPr id="21" name="/xl/media/image2.jp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820</xdr:row>
      <xdr:rowOff>0</xdr:rowOff>
    </xdr:from>
    <xdr:to>
      <xdr:col>12</xdr:col>
      <xdr:colOff>385048</xdr:colOff>
      <xdr:row>824</xdr:row>
      <xdr:rowOff>146538</xdr:rowOff>
    </xdr:to>
    <xdr:pic>
      <xdr:nvPicPr>
        <xdr:cNvPr id="22" name="/xl/media/image2.jp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861</xdr:row>
      <xdr:rowOff>0</xdr:rowOff>
    </xdr:from>
    <xdr:to>
      <xdr:col>12</xdr:col>
      <xdr:colOff>385048</xdr:colOff>
      <xdr:row>865</xdr:row>
      <xdr:rowOff>146538</xdr:rowOff>
    </xdr:to>
    <xdr:pic>
      <xdr:nvPicPr>
        <xdr:cNvPr id="23" name="/xl/media/image2.jp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902</xdr:row>
      <xdr:rowOff>0</xdr:rowOff>
    </xdr:from>
    <xdr:to>
      <xdr:col>12</xdr:col>
      <xdr:colOff>385048</xdr:colOff>
      <xdr:row>906</xdr:row>
      <xdr:rowOff>146538</xdr:rowOff>
    </xdr:to>
    <xdr:pic>
      <xdr:nvPicPr>
        <xdr:cNvPr id="24" name="/xl/media/image2.jp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943</xdr:row>
      <xdr:rowOff>0</xdr:rowOff>
    </xdr:from>
    <xdr:to>
      <xdr:col>12</xdr:col>
      <xdr:colOff>385048</xdr:colOff>
      <xdr:row>947</xdr:row>
      <xdr:rowOff>146538</xdr:rowOff>
    </xdr:to>
    <xdr:pic>
      <xdr:nvPicPr>
        <xdr:cNvPr id="25" name="/xl/media/image2.jp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126"/>
  <sheetViews>
    <sheetView tabSelected="1" zoomScaleNormal="100" workbookViewId="0">
      <selection activeCell="AD16" sqref="AD16"/>
    </sheetView>
  </sheetViews>
  <sheetFormatPr defaultColWidth="9.28515625" defaultRowHeight="15"/>
  <cols>
    <col min="1" max="1" width="3.42578125" style="44" customWidth="1"/>
    <col min="2" max="2" width="5" style="9" customWidth="1"/>
    <col min="3" max="3" width="22" style="9" customWidth="1"/>
    <col min="4" max="17" width="4.42578125" style="9" customWidth="1"/>
    <col min="18" max="19" width="4.42578125" style="9" hidden="1" customWidth="1"/>
    <col min="20" max="21" width="4.42578125" style="9" customWidth="1"/>
    <col min="22" max="22" width="0.140625" customWidth="1"/>
    <col min="23" max="23" width="7" hidden="1" customWidth="1"/>
    <col min="24" max="24" width="6.7109375" hidden="1" customWidth="1"/>
    <col min="25" max="16384" width="9.28515625" style="9"/>
  </cols>
  <sheetData>
    <row r="2" spans="1:24">
      <c r="C2" s="19"/>
      <c r="E2" s="42">
        <f>COUNT(D6,F6,H6,J6,L6,N6,P6)+1</f>
        <v>8</v>
      </c>
      <c r="J2" s="112" t="s">
        <v>73</v>
      </c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>
        <f>IF(COUNT($D$6:$D$125)=0,COUNTIF($C$6:$C$125,"&lt;&gt;"),SUMPRODUCT(--($C$6:$C$125&lt;&gt;""),--ISNUMBER($D$6:$D$125),--ISNUMBER($T$6:$T$125)))</f>
        <v>57</v>
      </c>
    </row>
    <row r="3" spans="1:24">
      <c r="B3" s="91" t="s">
        <v>75</v>
      </c>
      <c r="C3" s="20" t="s">
        <v>0</v>
      </c>
      <c r="D3" s="92">
        <v>1</v>
      </c>
      <c r="E3" s="92"/>
      <c r="F3" s="92">
        <v>2</v>
      </c>
      <c r="G3" s="92"/>
      <c r="H3" s="92">
        <v>3</v>
      </c>
      <c r="I3" s="92"/>
      <c r="J3" s="92">
        <v>4</v>
      </c>
      <c r="K3" s="92"/>
      <c r="L3" s="92">
        <v>5</v>
      </c>
      <c r="M3" s="92"/>
      <c r="N3" s="92">
        <v>6</v>
      </c>
      <c r="O3" s="92"/>
      <c r="P3" s="92">
        <v>7</v>
      </c>
      <c r="Q3" s="92"/>
      <c r="R3" s="92">
        <v>8</v>
      </c>
      <c r="S3" s="92"/>
      <c r="T3" s="92" t="s">
        <v>1</v>
      </c>
      <c r="U3" s="92"/>
      <c r="V3" s="11"/>
    </row>
    <row r="4" spans="1:24">
      <c r="B4" s="10"/>
      <c r="C4" s="20"/>
      <c r="D4" s="20" t="s">
        <v>2</v>
      </c>
      <c r="E4" s="20" t="s">
        <v>3</v>
      </c>
      <c r="F4" s="20" t="s">
        <v>2</v>
      </c>
      <c r="G4" s="20" t="s">
        <v>3</v>
      </c>
      <c r="H4" s="20" t="s">
        <v>2</v>
      </c>
      <c r="I4" s="20" t="s">
        <v>3</v>
      </c>
      <c r="J4" s="20" t="s">
        <v>2</v>
      </c>
      <c r="K4" s="20" t="s">
        <v>3</v>
      </c>
      <c r="L4" s="20" t="s">
        <v>2</v>
      </c>
      <c r="M4" s="20" t="s">
        <v>3</v>
      </c>
      <c r="N4" s="20" t="s">
        <v>2</v>
      </c>
      <c r="O4" s="20" t="s">
        <v>3</v>
      </c>
      <c r="P4" s="20" t="s">
        <v>2</v>
      </c>
      <c r="Q4" s="20" t="s">
        <v>3</v>
      </c>
      <c r="R4" s="20" t="s">
        <v>2</v>
      </c>
      <c r="S4" s="20" t="s">
        <v>3</v>
      </c>
      <c r="T4" s="20" t="s">
        <v>2</v>
      </c>
      <c r="U4" s="20" t="s">
        <v>3</v>
      </c>
      <c r="V4" s="11"/>
    </row>
    <row r="5" spans="1:24">
      <c r="B5" s="1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11"/>
    </row>
    <row r="6" spans="1:24">
      <c r="A6" s="63">
        <f t="shared" ref="A6:A37" si="0">IF(W6="","",IF(ROW()=6,W6,IF(W6&lt;&gt;W5,W6,"")))</f>
        <v>1</v>
      </c>
      <c r="B6" s="11">
        <v>1</v>
      </c>
      <c r="C6" s="69" t="s">
        <v>54</v>
      </c>
      <c r="D6" s="13">
        <v>6</v>
      </c>
      <c r="E6" s="21">
        <v>26</v>
      </c>
      <c r="F6" s="25">
        <v>2</v>
      </c>
      <c r="G6" s="26">
        <v>-12</v>
      </c>
      <c r="H6" s="13">
        <v>2</v>
      </c>
      <c r="I6" s="21">
        <v>-11</v>
      </c>
      <c r="J6" s="25">
        <v>6</v>
      </c>
      <c r="K6" s="26">
        <v>19</v>
      </c>
      <c r="L6" s="13">
        <v>6</v>
      </c>
      <c r="M6" s="21">
        <v>16</v>
      </c>
      <c r="N6" s="25">
        <v>6</v>
      </c>
      <c r="O6" s="26">
        <v>24</v>
      </c>
      <c r="P6" s="13">
        <v>6</v>
      </c>
      <c r="Q6" s="21">
        <v>39</v>
      </c>
      <c r="R6" s="25"/>
      <c r="S6" s="26"/>
      <c r="T6" s="33">
        <f t="shared" ref="T6:T37" si="1">D6+F6+H6+J6+L6+N6+P6+R6</f>
        <v>34</v>
      </c>
      <c r="U6" s="34">
        <f t="shared" ref="U6:U37" si="2">E6+G6+I6+K6+M6+O6+Q6+S6</f>
        <v>101</v>
      </c>
      <c r="W6">
        <f t="shared" ref="W6:W37" si="3">IF(X6="","",IF(X6&lt;=4*(INT($V$2/4)-MOD($V$2,4)),ROUNDUP(X6/4,0),(INT($V$2/4)-MOD($V$2,4))+ROUNDUP((X6-4*(INT($V$2/4)-MOD($V$2,4)))/5,0)))</f>
        <v>1</v>
      </c>
      <c r="X6">
        <f>IF(IF(COUNT($D$6:$D$125)=0,C6&lt;&gt;"",AND(C6&lt;&gt;"",ISNUMBER(D6),ISNUMBER(T6))),IF(COUNT($D$6:$D$125)=0,COUNTIF($C$6:C6,"&lt;&gt;"),SUMPRODUCT(--($C$6:C6&lt;&gt;""),--ISNUMBER($D$6:D6),--ISNUMBER($T$6:T6))),"")</f>
        <v>1</v>
      </c>
    </row>
    <row r="7" spans="1:24">
      <c r="A7" s="63" t="str">
        <f t="shared" si="0"/>
        <v/>
      </c>
      <c r="B7" s="11">
        <v>2</v>
      </c>
      <c r="C7" s="69" t="s">
        <v>20</v>
      </c>
      <c r="D7" s="16">
        <v>4</v>
      </c>
      <c r="E7" s="12">
        <v>6</v>
      </c>
      <c r="F7" s="27">
        <v>6</v>
      </c>
      <c r="G7" s="28">
        <v>17</v>
      </c>
      <c r="H7" s="16">
        <v>6</v>
      </c>
      <c r="I7" s="12">
        <v>9</v>
      </c>
      <c r="J7" s="27">
        <v>4</v>
      </c>
      <c r="K7" s="28">
        <v>1</v>
      </c>
      <c r="L7" s="16">
        <v>6</v>
      </c>
      <c r="M7" s="12">
        <v>23</v>
      </c>
      <c r="N7" s="27">
        <v>4</v>
      </c>
      <c r="O7" s="28">
        <v>0</v>
      </c>
      <c r="P7" s="16">
        <v>4</v>
      </c>
      <c r="Q7" s="12">
        <v>7</v>
      </c>
      <c r="R7" s="27"/>
      <c r="S7" s="28"/>
      <c r="T7" s="33">
        <f t="shared" si="1"/>
        <v>34</v>
      </c>
      <c r="U7" s="34">
        <f t="shared" si="2"/>
        <v>63</v>
      </c>
      <c r="W7">
        <f t="shared" si="3"/>
        <v>1</v>
      </c>
      <c r="X7">
        <f>IF(IF(COUNT($D$6:$D$125)=0,C7&lt;&gt;"",AND(C7&lt;&gt;"",ISNUMBER(D7),ISNUMBER(T7))),IF(COUNT($D$6:$D$125)=0,COUNTIF($C$6:C7,"&lt;&gt;"),SUMPRODUCT(--($C$6:C7&lt;&gt;""),--ISNUMBER($D$6:D7),--ISNUMBER($T$6:T7))),"")</f>
        <v>2</v>
      </c>
    </row>
    <row r="8" spans="1:24">
      <c r="A8" s="63" t="str">
        <f t="shared" si="0"/>
        <v/>
      </c>
      <c r="B8" s="11">
        <v>3</v>
      </c>
      <c r="C8" s="69" t="s">
        <v>7</v>
      </c>
      <c r="D8" s="13">
        <v>6</v>
      </c>
      <c r="E8" s="21">
        <v>42</v>
      </c>
      <c r="F8" s="27">
        <v>2</v>
      </c>
      <c r="G8" s="28">
        <v>-17</v>
      </c>
      <c r="H8" s="16">
        <v>6</v>
      </c>
      <c r="I8" s="12">
        <v>24</v>
      </c>
      <c r="J8" s="27">
        <v>6</v>
      </c>
      <c r="K8" s="28">
        <v>28</v>
      </c>
      <c r="L8" s="16">
        <v>4</v>
      </c>
      <c r="M8" s="12">
        <v>7</v>
      </c>
      <c r="N8" s="27">
        <v>6</v>
      </c>
      <c r="O8" s="28">
        <v>15</v>
      </c>
      <c r="P8" s="16">
        <v>2</v>
      </c>
      <c r="Q8" s="12">
        <v>-9</v>
      </c>
      <c r="R8" s="27"/>
      <c r="S8" s="28"/>
      <c r="T8" s="33">
        <f t="shared" si="1"/>
        <v>32</v>
      </c>
      <c r="U8" s="34">
        <f t="shared" si="2"/>
        <v>90</v>
      </c>
      <c r="W8">
        <f t="shared" si="3"/>
        <v>1</v>
      </c>
      <c r="X8">
        <f>IF(IF(COUNT($D$6:$D$125)=0,C8&lt;&gt;"",AND(C8&lt;&gt;"",ISNUMBER(D8),ISNUMBER(T8))),IF(COUNT($D$6:$D$125)=0,COUNTIF($C$6:C8,"&lt;&gt;"),SUMPRODUCT(--($C$6:C8&lt;&gt;""),--ISNUMBER($D$6:D8),--ISNUMBER($T$6:T8))),"")</f>
        <v>3</v>
      </c>
    </row>
    <row r="9" spans="1:24">
      <c r="A9" s="63" t="str">
        <f t="shared" si="0"/>
        <v/>
      </c>
      <c r="B9" s="11">
        <v>4</v>
      </c>
      <c r="C9" s="69" t="s">
        <v>55</v>
      </c>
      <c r="D9" s="14">
        <v>2</v>
      </c>
      <c r="E9" s="23">
        <v>-14</v>
      </c>
      <c r="F9" s="27">
        <v>2</v>
      </c>
      <c r="G9" s="28">
        <v>-14</v>
      </c>
      <c r="H9" s="16">
        <v>6</v>
      </c>
      <c r="I9" s="12">
        <v>23</v>
      </c>
      <c r="J9" s="27">
        <v>6</v>
      </c>
      <c r="K9" s="28">
        <v>13</v>
      </c>
      <c r="L9" s="16">
        <v>4</v>
      </c>
      <c r="M9" s="12">
        <v>3</v>
      </c>
      <c r="N9" s="27">
        <v>6</v>
      </c>
      <c r="O9" s="28">
        <v>10</v>
      </c>
      <c r="P9" s="16">
        <v>6</v>
      </c>
      <c r="Q9" s="12">
        <v>49</v>
      </c>
      <c r="R9" s="27"/>
      <c r="S9" s="28"/>
      <c r="T9" s="33">
        <f t="shared" si="1"/>
        <v>32</v>
      </c>
      <c r="U9" s="34">
        <f t="shared" si="2"/>
        <v>70</v>
      </c>
      <c r="W9">
        <f t="shared" si="3"/>
        <v>1</v>
      </c>
      <c r="X9">
        <f>IF(IF(COUNT($D$6:$D$125)=0,C9&lt;&gt;"",AND(C9&lt;&gt;"",ISNUMBER(D9),ISNUMBER(T9))),IF(COUNT($D$6:$D$125)=0,COUNTIF($C$6:C9,"&lt;&gt;"),SUMPRODUCT(--($C$6:C9&lt;&gt;""),--ISNUMBER($D$6:D9),--ISNUMBER($T$6:T9))),"")</f>
        <v>4</v>
      </c>
    </row>
    <row r="10" spans="1:24">
      <c r="A10" s="64">
        <f t="shared" si="0"/>
        <v>2</v>
      </c>
      <c r="B10" s="11">
        <v>5</v>
      </c>
      <c r="C10" s="69" t="s">
        <v>23</v>
      </c>
      <c r="D10" s="16">
        <v>6</v>
      </c>
      <c r="E10" s="12">
        <v>27</v>
      </c>
      <c r="F10" s="27">
        <v>6</v>
      </c>
      <c r="G10" s="28">
        <v>26</v>
      </c>
      <c r="H10" s="16">
        <v>0</v>
      </c>
      <c r="I10" s="12">
        <v>-16</v>
      </c>
      <c r="J10" s="27">
        <v>6</v>
      </c>
      <c r="K10" s="28">
        <v>28</v>
      </c>
      <c r="L10" s="16">
        <v>0</v>
      </c>
      <c r="M10" s="12">
        <v>-68</v>
      </c>
      <c r="N10" s="27">
        <v>6</v>
      </c>
      <c r="O10" s="28">
        <v>53</v>
      </c>
      <c r="P10" s="16">
        <v>6</v>
      </c>
      <c r="Q10" s="12">
        <v>6</v>
      </c>
      <c r="R10" s="27"/>
      <c r="S10" s="28"/>
      <c r="T10" s="33">
        <f t="shared" si="1"/>
        <v>30</v>
      </c>
      <c r="U10" s="34">
        <f t="shared" si="2"/>
        <v>56</v>
      </c>
      <c r="W10">
        <f t="shared" si="3"/>
        <v>2</v>
      </c>
      <c r="X10">
        <f>IF(IF(COUNT($D$6:$D$125)=0,C10&lt;&gt;"",AND(C10&lt;&gt;"",ISNUMBER(D10),ISNUMBER(T10))),IF(COUNT($D$6:$D$125)=0,COUNTIF($C$6:C10,"&lt;&gt;"),SUMPRODUCT(--($C$6:C10&lt;&gt;""),--ISNUMBER($D$6:D10),--ISNUMBER($T$6:T10))),"")</f>
        <v>5</v>
      </c>
    </row>
    <row r="11" spans="1:24">
      <c r="A11" s="64" t="str">
        <f t="shared" si="0"/>
        <v/>
      </c>
      <c r="B11" s="11">
        <v>6</v>
      </c>
      <c r="C11" s="69" t="s">
        <v>27</v>
      </c>
      <c r="D11" s="16">
        <v>6</v>
      </c>
      <c r="E11" s="23">
        <v>4</v>
      </c>
      <c r="F11" s="27">
        <v>6</v>
      </c>
      <c r="G11" s="28">
        <v>17</v>
      </c>
      <c r="H11" s="16">
        <v>2</v>
      </c>
      <c r="I11" s="12">
        <v>-9</v>
      </c>
      <c r="J11" s="27">
        <v>6</v>
      </c>
      <c r="K11" s="28">
        <v>15</v>
      </c>
      <c r="L11" s="16">
        <v>0</v>
      </c>
      <c r="M11" s="12">
        <v>-33</v>
      </c>
      <c r="N11" s="27">
        <v>6</v>
      </c>
      <c r="O11" s="28">
        <v>32</v>
      </c>
      <c r="P11" s="16">
        <v>4</v>
      </c>
      <c r="Q11" s="12">
        <v>-2</v>
      </c>
      <c r="R11" s="27"/>
      <c r="S11" s="28"/>
      <c r="T11" s="33">
        <f t="shared" si="1"/>
        <v>30</v>
      </c>
      <c r="U11" s="34">
        <f t="shared" si="2"/>
        <v>24</v>
      </c>
      <c r="V11" s="1"/>
      <c r="W11">
        <f t="shared" si="3"/>
        <v>2</v>
      </c>
      <c r="X11">
        <f>IF(IF(COUNT($D$6:$D$125)=0,C11&lt;&gt;"",AND(C11&lt;&gt;"",ISNUMBER(D11),ISNUMBER(T11))),IF(COUNT($D$6:$D$125)=0,COUNTIF($C$6:C11,"&lt;&gt;"),SUMPRODUCT(--($C$6:C11&lt;&gt;""),--ISNUMBER($D$6:D11),--ISNUMBER($T$6:T11))),"")</f>
        <v>6</v>
      </c>
    </row>
    <row r="12" spans="1:24">
      <c r="A12" s="64" t="str">
        <f t="shared" si="0"/>
        <v/>
      </c>
      <c r="B12" s="11">
        <v>7</v>
      </c>
      <c r="C12" s="69" t="s">
        <v>50</v>
      </c>
      <c r="D12" s="13">
        <v>6</v>
      </c>
      <c r="E12" s="12">
        <v>36</v>
      </c>
      <c r="F12" s="27">
        <v>4</v>
      </c>
      <c r="G12" s="28">
        <v>12</v>
      </c>
      <c r="H12" s="16">
        <v>0</v>
      </c>
      <c r="I12" s="12">
        <v>-16</v>
      </c>
      <c r="J12" s="27">
        <v>6</v>
      </c>
      <c r="K12" s="28">
        <v>11</v>
      </c>
      <c r="L12" s="16">
        <v>4</v>
      </c>
      <c r="M12" s="12">
        <v>18</v>
      </c>
      <c r="N12" s="27">
        <v>2</v>
      </c>
      <c r="O12" s="28">
        <v>-2</v>
      </c>
      <c r="P12" s="16">
        <v>6</v>
      </c>
      <c r="Q12" s="12">
        <v>17</v>
      </c>
      <c r="R12" s="27"/>
      <c r="S12" s="28"/>
      <c r="T12" s="33">
        <f t="shared" si="1"/>
        <v>28</v>
      </c>
      <c r="U12" s="34">
        <f t="shared" si="2"/>
        <v>76</v>
      </c>
      <c r="W12">
        <f t="shared" si="3"/>
        <v>2</v>
      </c>
      <c r="X12">
        <f>IF(IF(COUNT($D$6:$D$125)=0,C12&lt;&gt;"",AND(C12&lt;&gt;"",ISNUMBER(D12),ISNUMBER(T12))),IF(COUNT($D$6:$D$125)=0,COUNTIF($C$6:C12,"&lt;&gt;"),SUMPRODUCT(--($C$6:C12&lt;&gt;""),--ISNUMBER($D$6:D12),--ISNUMBER($T$6:T12))),"")</f>
        <v>7</v>
      </c>
    </row>
    <row r="13" spans="1:24">
      <c r="A13" s="64" t="str">
        <f t="shared" si="0"/>
        <v/>
      </c>
      <c r="B13" s="11">
        <v>8</v>
      </c>
      <c r="C13" s="69" t="s">
        <v>67</v>
      </c>
      <c r="D13" s="16">
        <v>6</v>
      </c>
      <c r="E13" s="12">
        <v>17</v>
      </c>
      <c r="F13" s="27">
        <v>0</v>
      </c>
      <c r="G13" s="28">
        <v>-27</v>
      </c>
      <c r="H13" s="16">
        <v>6</v>
      </c>
      <c r="I13" s="12">
        <v>14</v>
      </c>
      <c r="J13" s="27">
        <v>2</v>
      </c>
      <c r="K13" s="28">
        <v>-15</v>
      </c>
      <c r="L13" s="16">
        <v>4</v>
      </c>
      <c r="M13" s="12">
        <v>16</v>
      </c>
      <c r="N13" s="31">
        <v>4</v>
      </c>
      <c r="O13" s="28">
        <v>-15</v>
      </c>
      <c r="P13" s="16">
        <v>6</v>
      </c>
      <c r="Q13" s="12">
        <v>14</v>
      </c>
      <c r="R13" s="27"/>
      <c r="S13" s="28"/>
      <c r="T13" s="33">
        <f t="shared" si="1"/>
        <v>28</v>
      </c>
      <c r="U13" s="34">
        <f t="shared" si="2"/>
        <v>4</v>
      </c>
      <c r="W13">
        <f t="shared" si="3"/>
        <v>2</v>
      </c>
      <c r="X13">
        <f>IF(IF(COUNT($D$6:$D$125)=0,C13&lt;&gt;"",AND(C13&lt;&gt;"",ISNUMBER(D13),ISNUMBER(T13))),IF(COUNT($D$6:$D$125)=0,COUNTIF($C$6:C13,"&lt;&gt;"),SUMPRODUCT(--($C$6:C13&lt;&gt;""),--ISNUMBER($D$6:D13),--ISNUMBER($T$6:T13))),"")</f>
        <v>8</v>
      </c>
    </row>
    <row r="14" spans="1:24">
      <c r="A14" s="63">
        <f t="shared" si="0"/>
        <v>3</v>
      </c>
      <c r="B14" s="11">
        <v>9</v>
      </c>
      <c r="C14" s="69" t="s">
        <v>58</v>
      </c>
      <c r="D14" s="13">
        <v>3</v>
      </c>
      <c r="E14" s="21">
        <v>-6</v>
      </c>
      <c r="F14" s="27">
        <v>6</v>
      </c>
      <c r="G14" s="28">
        <v>14</v>
      </c>
      <c r="H14" s="16">
        <v>6</v>
      </c>
      <c r="I14" s="12">
        <v>26</v>
      </c>
      <c r="J14" s="27">
        <v>4</v>
      </c>
      <c r="K14" s="28">
        <v>22</v>
      </c>
      <c r="L14" s="16">
        <v>6</v>
      </c>
      <c r="M14" s="12">
        <v>48</v>
      </c>
      <c r="N14" s="27">
        <v>0</v>
      </c>
      <c r="O14" s="28">
        <v>-9</v>
      </c>
      <c r="P14" s="16">
        <v>2</v>
      </c>
      <c r="Q14" s="12">
        <v>-8</v>
      </c>
      <c r="R14" s="27"/>
      <c r="S14" s="28"/>
      <c r="T14" s="33">
        <f t="shared" si="1"/>
        <v>27</v>
      </c>
      <c r="U14" s="34">
        <f t="shared" si="2"/>
        <v>87</v>
      </c>
      <c r="W14">
        <f t="shared" si="3"/>
        <v>3</v>
      </c>
      <c r="X14">
        <f>IF(IF(COUNT($D$6:$D$125)=0,C14&lt;&gt;"",AND(C14&lt;&gt;"",ISNUMBER(D14),ISNUMBER(T14))),IF(COUNT($D$6:$D$125)=0,COUNTIF($C$6:C14,"&lt;&gt;"),SUMPRODUCT(--($C$6:C14&lt;&gt;""),--ISNUMBER($D$6:D14),--ISNUMBER($T$6:T14))),"")</f>
        <v>9</v>
      </c>
    </row>
    <row r="15" spans="1:24">
      <c r="A15" s="63" t="str">
        <f t="shared" si="0"/>
        <v/>
      </c>
      <c r="B15" s="11">
        <v>10</v>
      </c>
      <c r="C15" s="69" t="s">
        <v>52</v>
      </c>
      <c r="D15" s="14">
        <v>4</v>
      </c>
      <c r="E15" s="23">
        <v>12</v>
      </c>
      <c r="F15" s="27">
        <v>6</v>
      </c>
      <c r="G15" s="28">
        <v>27</v>
      </c>
      <c r="H15" s="16">
        <v>6</v>
      </c>
      <c r="I15" s="12">
        <v>6</v>
      </c>
      <c r="J15" s="27">
        <v>2</v>
      </c>
      <c r="K15" s="28">
        <v>-1</v>
      </c>
      <c r="L15" s="16">
        <v>2</v>
      </c>
      <c r="M15" s="12">
        <v>7</v>
      </c>
      <c r="N15" s="27">
        <v>4</v>
      </c>
      <c r="O15" s="28">
        <v>6</v>
      </c>
      <c r="P15" s="16">
        <v>3</v>
      </c>
      <c r="Q15" s="12">
        <v>2</v>
      </c>
      <c r="R15" s="27"/>
      <c r="S15" s="28"/>
      <c r="T15" s="33">
        <f t="shared" si="1"/>
        <v>27</v>
      </c>
      <c r="U15" s="34">
        <f t="shared" si="2"/>
        <v>59</v>
      </c>
      <c r="W15">
        <f t="shared" si="3"/>
        <v>3</v>
      </c>
      <c r="X15">
        <f>IF(IF(COUNT($D$6:$D$125)=0,C15&lt;&gt;"",AND(C15&lt;&gt;"",ISNUMBER(D15),ISNUMBER(T15))),IF(COUNT($D$6:$D$125)=0,COUNTIF($C$6:C15,"&lt;&gt;"),SUMPRODUCT(--($C$6:C15&lt;&gt;""),--ISNUMBER($D$6:D15),--ISNUMBER($T$6:T15))),"")</f>
        <v>10</v>
      </c>
    </row>
    <row r="16" spans="1:24">
      <c r="A16" s="63" t="str">
        <f t="shared" si="0"/>
        <v/>
      </c>
      <c r="B16" s="11">
        <v>11</v>
      </c>
      <c r="C16" s="69" t="s">
        <v>61</v>
      </c>
      <c r="D16" s="16">
        <v>6</v>
      </c>
      <c r="E16" s="12">
        <v>26</v>
      </c>
      <c r="F16" s="27">
        <v>6</v>
      </c>
      <c r="G16" s="28">
        <v>13</v>
      </c>
      <c r="H16" s="16">
        <v>6</v>
      </c>
      <c r="I16" s="12">
        <v>27</v>
      </c>
      <c r="J16" s="27">
        <v>0</v>
      </c>
      <c r="K16" s="28">
        <v>-4</v>
      </c>
      <c r="L16" s="16">
        <v>4</v>
      </c>
      <c r="M16" s="12">
        <v>13</v>
      </c>
      <c r="N16" s="27">
        <v>0</v>
      </c>
      <c r="O16" s="28">
        <v>-13</v>
      </c>
      <c r="P16" s="16">
        <v>4</v>
      </c>
      <c r="Q16" s="12">
        <v>1</v>
      </c>
      <c r="R16" s="27"/>
      <c r="S16" s="28"/>
      <c r="T16" s="33">
        <f t="shared" si="1"/>
        <v>26</v>
      </c>
      <c r="U16" s="34">
        <f t="shared" si="2"/>
        <v>63</v>
      </c>
      <c r="W16">
        <f t="shared" si="3"/>
        <v>3</v>
      </c>
      <c r="X16">
        <f>IF(IF(COUNT($D$6:$D$125)=0,C16&lt;&gt;"",AND(C16&lt;&gt;"",ISNUMBER(D16),ISNUMBER(T16))),IF(COUNT($D$6:$D$125)=0,COUNTIF($C$6:C16,"&lt;&gt;"),SUMPRODUCT(--($C$6:C16&lt;&gt;""),--ISNUMBER($D$6:D16),--ISNUMBER($T$6:T16))),"")</f>
        <v>11</v>
      </c>
    </row>
    <row r="17" spans="1:24">
      <c r="A17" s="63" t="str">
        <f t="shared" si="0"/>
        <v/>
      </c>
      <c r="B17" s="11">
        <v>12</v>
      </c>
      <c r="C17" s="69" t="s">
        <v>6</v>
      </c>
      <c r="D17" s="14">
        <v>6</v>
      </c>
      <c r="E17" s="12">
        <v>10</v>
      </c>
      <c r="F17" s="27">
        <v>4</v>
      </c>
      <c r="G17" s="28">
        <v>9</v>
      </c>
      <c r="H17" s="16">
        <v>2</v>
      </c>
      <c r="I17" s="12">
        <v>1</v>
      </c>
      <c r="J17" s="27">
        <v>0</v>
      </c>
      <c r="K17" s="28">
        <v>-20</v>
      </c>
      <c r="L17" s="16">
        <v>6</v>
      </c>
      <c r="M17" s="12">
        <v>30</v>
      </c>
      <c r="N17" s="27">
        <v>2</v>
      </c>
      <c r="O17" s="28">
        <v>-14</v>
      </c>
      <c r="P17" s="16">
        <v>6</v>
      </c>
      <c r="Q17" s="12">
        <v>36</v>
      </c>
      <c r="R17" s="27"/>
      <c r="S17" s="28"/>
      <c r="T17" s="33">
        <f t="shared" si="1"/>
        <v>26</v>
      </c>
      <c r="U17" s="34">
        <f t="shared" si="2"/>
        <v>52</v>
      </c>
      <c r="W17">
        <f t="shared" si="3"/>
        <v>3</v>
      </c>
      <c r="X17">
        <f>IF(IF(COUNT($D$6:$D$125)=0,C17&lt;&gt;"",AND(C17&lt;&gt;"",ISNUMBER(D17),ISNUMBER(T17))),IF(COUNT($D$6:$D$125)=0,COUNTIF($C$6:C17,"&lt;&gt;"),SUMPRODUCT(--($C$6:C17&lt;&gt;""),--ISNUMBER($D$6:D17),--ISNUMBER($T$6:T17))),"")</f>
        <v>12</v>
      </c>
    </row>
    <row r="18" spans="1:24">
      <c r="A18" s="64">
        <f t="shared" si="0"/>
        <v>4</v>
      </c>
      <c r="B18" s="11">
        <v>13</v>
      </c>
      <c r="C18" s="69" t="s">
        <v>40</v>
      </c>
      <c r="D18" s="16">
        <v>6</v>
      </c>
      <c r="E18" s="21">
        <v>54</v>
      </c>
      <c r="F18" s="27">
        <v>6</v>
      </c>
      <c r="G18" s="28">
        <v>27</v>
      </c>
      <c r="H18" s="16">
        <v>4</v>
      </c>
      <c r="I18" s="12">
        <v>-2</v>
      </c>
      <c r="J18" s="27">
        <v>6</v>
      </c>
      <c r="K18" s="28">
        <v>4</v>
      </c>
      <c r="L18" s="16">
        <v>2</v>
      </c>
      <c r="M18" s="12">
        <v>3</v>
      </c>
      <c r="N18" s="27">
        <v>2</v>
      </c>
      <c r="O18" s="28">
        <v>-6</v>
      </c>
      <c r="P18" s="16">
        <v>0</v>
      </c>
      <c r="Q18" s="12">
        <v>-37</v>
      </c>
      <c r="R18" s="27"/>
      <c r="S18" s="28"/>
      <c r="T18" s="33">
        <f t="shared" si="1"/>
        <v>26</v>
      </c>
      <c r="U18" s="34">
        <f t="shared" si="2"/>
        <v>43</v>
      </c>
      <c r="W18">
        <f t="shared" si="3"/>
        <v>4</v>
      </c>
      <c r="X18">
        <f>IF(IF(COUNT($D$6:$D$125)=0,C18&lt;&gt;"",AND(C18&lt;&gt;"",ISNUMBER(D18),ISNUMBER(T18))),IF(COUNT($D$6:$D$125)=0,COUNTIF($C$6:C18,"&lt;&gt;"),SUMPRODUCT(--($C$6:C18&lt;&gt;""),--ISNUMBER($D$6:D18),--ISNUMBER($T$6:T18))),"")</f>
        <v>13</v>
      </c>
    </row>
    <row r="19" spans="1:24">
      <c r="A19" s="64" t="str">
        <f t="shared" si="0"/>
        <v/>
      </c>
      <c r="B19" s="11">
        <v>14</v>
      </c>
      <c r="C19" s="69" t="s">
        <v>10</v>
      </c>
      <c r="D19" s="14">
        <v>2</v>
      </c>
      <c r="E19" s="23">
        <v>-11</v>
      </c>
      <c r="F19" s="27">
        <v>6</v>
      </c>
      <c r="G19" s="28">
        <v>43</v>
      </c>
      <c r="H19" s="16">
        <v>4</v>
      </c>
      <c r="I19" s="12">
        <v>24</v>
      </c>
      <c r="J19" s="27">
        <v>4</v>
      </c>
      <c r="K19" s="28">
        <v>2</v>
      </c>
      <c r="L19" s="16">
        <v>6</v>
      </c>
      <c r="M19" s="12">
        <v>19</v>
      </c>
      <c r="N19" s="90">
        <v>4</v>
      </c>
      <c r="O19" s="28">
        <v>1</v>
      </c>
      <c r="P19" s="16">
        <v>0</v>
      </c>
      <c r="Q19" s="12">
        <v>-39</v>
      </c>
      <c r="R19" s="27"/>
      <c r="S19" s="28"/>
      <c r="T19" s="33">
        <f t="shared" si="1"/>
        <v>26</v>
      </c>
      <c r="U19" s="34">
        <f t="shared" si="2"/>
        <v>39</v>
      </c>
      <c r="W19">
        <f t="shared" si="3"/>
        <v>4</v>
      </c>
      <c r="X19">
        <f>IF(IF(COUNT($D$6:$D$125)=0,C19&lt;&gt;"",AND(C19&lt;&gt;"",ISNUMBER(D19),ISNUMBER(T19))),IF(COUNT($D$6:$D$125)=0,COUNTIF($C$6:C19,"&lt;&gt;"),SUMPRODUCT(--($C$6:C19&lt;&gt;""),--ISNUMBER($D$6:D19),--ISNUMBER($T$6:T19))),"")</f>
        <v>14</v>
      </c>
    </row>
    <row r="20" spans="1:24">
      <c r="A20" s="64" t="str">
        <f t="shared" si="0"/>
        <v/>
      </c>
      <c r="B20" s="11">
        <v>15</v>
      </c>
      <c r="C20" s="69" t="s">
        <v>34</v>
      </c>
      <c r="D20" s="16">
        <v>5</v>
      </c>
      <c r="E20" s="12">
        <v>27</v>
      </c>
      <c r="F20" s="27">
        <v>2</v>
      </c>
      <c r="G20" s="28">
        <v>1</v>
      </c>
      <c r="H20" s="16">
        <v>4</v>
      </c>
      <c r="I20" s="12">
        <v>9</v>
      </c>
      <c r="J20" s="27">
        <v>5</v>
      </c>
      <c r="K20" s="28">
        <v>26</v>
      </c>
      <c r="L20" s="16">
        <v>2</v>
      </c>
      <c r="M20" s="12">
        <v>1</v>
      </c>
      <c r="N20" s="27">
        <v>4</v>
      </c>
      <c r="O20" s="28">
        <v>23</v>
      </c>
      <c r="P20" s="16">
        <v>3</v>
      </c>
      <c r="Q20" s="12">
        <v>2</v>
      </c>
      <c r="R20" s="27"/>
      <c r="S20" s="28"/>
      <c r="T20" s="33">
        <f t="shared" si="1"/>
        <v>25</v>
      </c>
      <c r="U20" s="34">
        <f t="shared" si="2"/>
        <v>89</v>
      </c>
      <c r="W20">
        <f t="shared" si="3"/>
        <v>4</v>
      </c>
      <c r="X20">
        <f>IF(IF(COUNT($D$6:$D$125)=0,C20&lt;&gt;"",AND(C20&lt;&gt;"",ISNUMBER(D20),ISNUMBER(T20))),IF(COUNT($D$6:$D$125)=0,COUNTIF($C$6:C20,"&lt;&gt;"),SUMPRODUCT(--($C$6:C20&lt;&gt;""),--ISNUMBER($D$6:D20),--ISNUMBER($T$6:T20))),"")</f>
        <v>15</v>
      </c>
    </row>
    <row r="21" spans="1:24">
      <c r="A21" s="64" t="str">
        <f t="shared" si="0"/>
        <v/>
      </c>
      <c r="B21" s="11">
        <v>16</v>
      </c>
      <c r="C21" s="69" t="s">
        <v>32</v>
      </c>
      <c r="D21" s="14">
        <v>6</v>
      </c>
      <c r="E21" s="23">
        <v>24</v>
      </c>
      <c r="F21" s="27">
        <v>0</v>
      </c>
      <c r="G21" s="28">
        <v>-25</v>
      </c>
      <c r="H21" s="16">
        <v>2</v>
      </c>
      <c r="I21" s="12">
        <v>3</v>
      </c>
      <c r="J21" s="27">
        <v>6</v>
      </c>
      <c r="K21" s="28">
        <v>5</v>
      </c>
      <c r="L21" s="16">
        <v>4</v>
      </c>
      <c r="M21" s="12">
        <v>9</v>
      </c>
      <c r="N21" s="27">
        <v>4</v>
      </c>
      <c r="O21" s="28">
        <v>14</v>
      </c>
      <c r="P21" s="16">
        <v>3</v>
      </c>
      <c r="Q21" s="12">
        <v>10</v>
      </c>
      <c r="R21" s="27"/>
      <c r="S21" s="28"/>
      <c r="T21" s="33">
        <f t="shared" si="1"/>
        <v>25</v>
      </c>
      <c r="U21" s="34">
        <f t="shared" si="2"/>
        <v>40</v>
      </c>
      <c r="W21">
        <f t="shared" si="3"/>
        <v>4</v>
      </c>
      <c r="X21">
        <f>IF(IF(COUNT($D$6:$D$125)=0,C21&lt;&gt;"",AND(C21&lt;&gt;"",ISNUMBER(D21),ISNUMBER(T21))),IF(COUNT($D$6:$D$125)=0,COUNTIF($C$6:C21,"&lt;&gt;"),SUMPRODUCT(--($C$6:C21&lt;&gt;""),--ISNUMBER($D$6:D21),--ISNUMBER($T$6:T21))),"")</f>
        <v>16</v>
      </c>
    </row>
    <row r="22" spans="1:24">
      <c r="A22" s="63">
        <f t="shared" si="0"/>
        <v>5</v>
      </c>
      <c r="B22" s="11">
        <v>17</v>
      </c>
      <c r="C22" s="69" t="s">
        <v>26</v>
      </c>
      <c r="D22" s="16">
        <v>4</v>
      </c>
      <c r="E22" s="12">
        <v>0</v>
      </c>
      <c r="F22" s="27">
        <v>4</v>
      </c>
      <c r="G22" s="28">
        <v>-5</v>
      </c>
      <c r="H22" s="16">
        <v>2</v>
      </c>
      <c r="I22" s="12">
        <v>-6</v>
      </c>
      <c r="J22" s="27">
        <v>0</v>
      </c>
      <c r="K22" s="28">
        <v>-18</v>
      </c>
      <c r="L22" s="16">
        <v>6</v>
      </c>
      <c r="M22" s="12">
        <v>21</v>
      </c>
      <c r="N22" s="27">
        <v>3</v>
      </c>
      <c r="O22" s="28">
        <v>0</v>
      </c>
      <c r="P22" s="16">
        <v>6</v>
      </c>
      <c r="Q22" s="12">
        <v>42</v>
      </c>
      <c r="R22" s="27"/>
      <c r="S22" s="28"/>
      <c r="T22" s="33">
        <f t="shared" si="1"/>
        <v>25</v>
      </c>
      <c r="U22" s="34">
        <f t="shared" si="2"/>
        <v>34</v>
      </c>
      <c r="W22">
        <f t="shared" si="3"/>
        <v>5</v>
      </c>
      <c r="X22">
        <f>IF(IF(COUNT($D$6:$D$125)=0,C22&lt;&gt;"",AND(C22&lt;&gt;"",ISNUMBER(D22),ISNUMBER(T22))),IF(COUNT($D$6:$D$125)=0,COUNTIF($C$6:C22,"&lt;&gt;"),SUMPRODUCT(--($C$6:C22&lt;&gt;""),--ISNUMBER($D$6:D22),--ISNUMBER($T$6:T22))),"")</f>
        <v>17</v>
      </c>
    </row>
    <row r="23" spans="1:24">
      <c r="A23" s="63" t="str">
        <f t="shared" si="0"/>
        <v/>
      </c>
      <c r="B23" s="11">
        <v>18</v>
      </c>
      <c r="C23" s="79" t="s">
        <v>36</v>
      </c>
      <c r="D23" s="16">
        <v>2</v>
      </c>
      <c r="E23" s="23">
        <v>-21</v>
      </c>
      <c r="F23" s="27">
        <v>4</v>
      </c>
      <c r="G23" s="28">
        <v>-4</v>
      </c>
      <c r="H23" s="16">
        <v>4</v>
      </c>
      <c r="I23" s="12">
        <v>-5</v>
      </c>
      <c r="J23" s="27">
        <v>4</v>
      </c>
      <c r="K23" s="28">
        <v>3</v>
      </c>
      <c r="L23" s="16">
        <v>6</v>
      </c>
      <c r="M23" s="12">
        <v>24</v>
      </c>
      <c r="N23" s="27">
        <v>2</v>
      </c>
      <c r="O23" s="28">
        <v>-8</v>
      </c>
      <c r="P23" s="16">
        <v>3</v>
      </c>
      <c r="Q23" s="12">
        <v>10</v>
      </c>
      <c r="R23" s="27"/>
      <c r="S23" s="28"/>
      <c r="T23" s="33">
        <f t="shared" si="1"/>
        <v>25</v>
      </c>
      <c r="U23" s="34">
        <f t="shared" si="2"/>
        <v>-1</v>
      </c>
      <c r="W23">
        <f t="shared" si="3"/>
        <v>5</v>
      </c>
      <c r="X23">
        <f>IF(IF(COUNT($D$6:$D$125)=0,C23&lt;&gt;"",AND(C23&lt;&gt;"",ISNUMBER(D23),ISNUMBER(T23))),IF(COUNT($D$6:$D$125)=0,COUNTIF($C$6:C23,"&lt;&gt;"),SUMPRODUCT(--($C$6:C23&lt;&gt;""),--ISNUMBER($D$6:D23),--ISNUMBER($T$6:T23))),"")</f>
        <v>18</v>
      </c>
    </row>
    <row r="24" spans="1:24">
      <c r="A24" s="63" t="str">
        <f t="shared" si="0"/>
        <v/>
      </c>
      <c r="B24" s="11">
        <v>19</v>
      </c>
      <c r="C24" s="69" t="s">
        <v>48</v>
      </c>
      <c r="D24" s="13">
        <v>6</v>
      </c>
      <c r="E24" s="12">
        <v>35</v>
      </c>
      <c r="F24" s="27">
        <v>0</v>
      </c>
      <c r="G24" s="28">
        <v>-17</v>
      </c>
      <c r="H24" s="16">
        <v>4</v>
      </c>
      <c r="I24" s="12">
        <v>10</v>
      </c>
      <c r="J24" s="27">
        <v>4</v>
      </c>
      <c r="K24" s="28">
        <v>6</v>
      </c>
      <c r="L24" s="16">
        <v>6</v>
      </c>
      <c r="M24" s="12">
        <v>31</v>
      </c>
      <c r="N24" s="27">
        <v>2</v>
      </c>
      <c r="O24" s="28">
        <v>-12</v>
      </c>
      <c r="P24" s="16">
        <v>2</v>
      </c>
      <c r="Q24" s="12">
        <v>0</v>
      </c>
      <c r="R24" s="27"/>
      <c r="S24" s="28"/>
      <c r="T24" s="33">
        <f t="shared" si="1"/>
        <v>24</v>
      </c>
      <c r="U24" s="34">
        <f t="shared" si="2"/>
        <v>53</v>
      </c>
      <c r="W24">
        <f t="shared" si="3"/>
        <v>5</v>
      </c>
      <c r="X24">
        <f>IF(IF(COUNT($D$6:$D$125)=0,C24&lt;&gt;"",AND(C24&lt;&gt;"",ISNUMBER(D24),ISNUMBER(T24))),IF(COUNT($D$6:$D$125)=0,COUNTIF($C$6:C24,"&lt;&gt;"),SUMPRODUCT(--($C$6:C24&lt;&gt;""),--ISNUMBER($D$6:D24),--ISNUMBER($T$6:T24))),"")</f>
        <v>19</v>
      </c>
    </row>
    <row r="25" spans="1:24">
      <c r="A25" s="63" t="str">
        <f t="shared" si="0"/>
        <v/>
      </c>
      <c r="B25" s="11">
        <v>20</v>
      </c>
      <c r="C25" s="69" t="s">
        <v>4</v>
      </c>
      <c r="D25" s="14">
        <v>2</v>
      </c>
      <c r="E25" s="12">
        <v>-7</v>
      </c>
      <c r="F25" s="27">
        <v>2</v>
      </c>
      <c r="G25" s="28">
        <v>-12</v>
      </c>
      <c r="H25" s="16">
        <v>6</v>
      </c>
      <c r="I25" s="12">
        <v>15</v>
      </c>
      <c r="J25" s="27">
        <v>4</v>
      </c>
      <c r="K25" s="28">
        <v>6</v>
      </c>
      <c r="L25" s="16">
        <v>6</v>
      </c>
      <c r="M25" s="12">
        <v>38</v>
      </c>
      <c r="N25" s="27">
        <v>0</v>
      </c>
      <c r="O25" s="28">
        <v>-14</v>
      </c>
      <c r="P25" s="16">
        <v>4</v>
      </c>
      <c r="Q25" s="12">
        <v>10</v>
      </c>
      <c r="R25" s="27"/>
      <c r="S25" s="28"/>
      <c r="T25" s="33">
        <f t="shared" si="1"/>
        <v>24</v>
      </c>
      <c r="U25" s="34">
        <f t="shared" si="2"/>
        <v>36</v>
      </c>
      <c r="W25">
        <f t="shared" si="3"/>
        <v>5</v>
      </c>
      <c r="X25">
        <f>IF(IF(COUNT($D$6:$D$125)=0,C25&lt;&gt;"",AND(C25&lt;&gt;"",ISNUMBER(D25),ISNUMBER(T25))),IF(COUNT($D$6:$D$125)=0,COUNTIF($C$6:C25,"&lt;&gt;"),SUMPRODUCT(--($C$6:C25&lt;&gt;""),--ISNUMBER($D$6:D25),--ISNUMBER($T$6:T25))),"")</f>
        <v>20</v>
      </c>
    </row>
    <row r="26" spans="1:24">
      <c r="A26" s="64">
        <f t="shared" si="0"/>
        <v>6</v>
      </c>
      <c r="B26" s="11">
        <v>21</v>
      </c>
      <c r="C26" s="69" t="s">
        <v>72</v>
      </c>
      <c r="D26" s="16">
        <v>0</v>
      </c>
      <c r="E26" s="21">
        <v>-11</v>
      </c>
      <c r="F26" s="27">
        <v>6</v>
      </c>
      <c r="G26" s="28">
        <v>21</v>
      </c>
      <c r="H26" s="16">
        <v>4</v>
      </c>
      <c r="I26" s="12">
        <v>18</v>
      </c>
      <c r="J26" s="27">
        <v>0</v>
      </c>
      <c r="K26" s="28">
        <v>-20</v>
      </c>
      <c r="L26" s="16">
        <v>6</v>
      </c>
      <c r="M26" s="12">
        <v>21</v>
      </c>
      <c r="N26" s="27">
        <v>2</v>
      </c>
      <c r="O26" s="28">
        <v>-17</v>
      </c>
      <c r="P26" s="16">
        <v>6</v>
      </c>
      <c r="Q26" s="12">
        <v>23</v>
      </c>
      <c r="R26" s="27"/>
      <c r="S26" s="28"/>
      <c r="T26" s="33">
        <f t="shared" si="1"/>
        <v>24</v>
      </c>
      <c r="U26" s="34">
        <f t="shared" si="2"/>
        <v>35</v>
      </c>
      <c r="W26">
        <f t="shared" si="3"/>
        <v>6</v>
      </c>
      <c r="X26">
        <f>IF(IF(COUNT($D$6:$D$125)=0,C26&lt;&gt;"",AND(C26&lt;&gt;"",ISNUMBER(D26),ISNUMBER(T26))),IF(COUNT($D$6:$D$125)=0,COUNTIF($C$6:C26,"&lt;&gt;"),SUMPRODUCT(--($C$6:C26&lt;&gt;""),--ISNUMBER($D$6:D26),--ISNUMBER($T$6:T26))),"")</f>
        <v>21</v>
      </c>
    </row>
    <row r="27" spans="1:24">
      <c r="A27" s="64" t="str">
        <f t="shared" si="0"/>
        <v/>
      </c>
      <c r="B27" s="11">
        <v>22</v>
      </c>
      <c r="C27" s="69" t="s">
        <v>14</v>
      </c>
      <c r="D27" s="14">
        <v>2</v>
      </c>
      <c r="E27" s="23">
        <v>-17</v>
      </c>
      <c r="F27" s="27">
        <v>6</v>
      </c>
      <c r="G27" s="28">
        <v>21</v>
      </c>
      <c r="H27" s="16">
        <v>6</v>
      </c>
      <c r="I27" s="12">
        <v>24</v>
      </c>
      <c r="J27" s="27">
        <v>2</v>
      </c>
      <c r="K27" s="28">
        <v>-11</v>
      </c>
      <c r="L27" s="16">
        <v>2</v>
      </c>
      <c r="M27" s="12">
        <v>-6</v>
      </c>
      <c r="N27" s="27">
        <v>6</v>
      </c>
      <c r="O27" s="28">
        <v>26</v>
      </c>
      <c r="P27" s="16">
        <v>0</v>
      </c>
      <c r="Q27" s="12">
        <v>-10</v>
      </c>
      <c r="R27" s="27"/>
      <c r="S27" s="28"/>
      <c r="T27" s="33">
        <f t="shared" si="1"/>
        <v>24</v>
      </c>
      <c r="U27" s="34">
        <f t="shared" si="2"/>
        <v>27</v>
      </c>
      <c r="W27">
        <f t="shared" si="3"/>
        <v>6</v>
      </c>
      <c r="X27">
        <f>IF(IF(COUNT($D$6:$D$125)=0,C27&lt;&gt;"",AND(C27&lt;&gt;"",ISNUMBER(D27),ISNUMBER(T27))),IF(COUNT($D$6:$D$125)=0,COUNTIF($C$6:C27,"&lt;&gt;"),SUMPRODUCT(--($C$6:C27&lt;&gt;""),--ISNUMBER($D$6:D27),--ISNUMBER($T$6:T27))),"")</f>
        <v>22</v>
      </c>
    </row>
    <row r="28" spans="1:24">
      <c r="A28" s="64" t="str">
        <f t="shared" si="0"/>
        <v/>
      </c>
      <c r="B28" s="11">
        <v>23</v>
      </c>
      <c r="C28" s="69" t="s">
        <v>18</v>
      </c>
      <c r="D28" s="16">
        <v>6</v>
      </c>
      <c r="E28" s="12">
        <v>38</v>
      </c>
      <c r="F28" s="27">
        <v>0</v>
      </c>
      <c r="G28" s="28">
        <v>-22</v>
      </c>
      <c r="H28" s="16">
        <v>0</v>
      </c>
      <c r="I28" s="12">
        <v>-29</v>
      </c>
      <c r="J28" s="27">
        <v>6</v>
      </c>
      <c r="K28" s="28">
        <v>16</v>
      </c>
      <c r="L28" s="16">
        <v>2</v>
      </c>
      <c r="M28" s="12">
        <v>-13</v>
      </c>
      <c r="N28" s="27">
        <v>6</v>
      </c>
      <c r="O28" s="28">
        <v>26</v>
      </c>
      <c r="P28" s="16">
        <v>4</v>
      </c>
      <c r="Q28" s="12">
        <v>3</v>
      </c>
      <c r="R28" s="27"/>
      <c r="S28" s="28"/>
      <c r="T28" s="33">
        <f t="shared" si="1"/>
        <v>24</v>
      </c>
      <c r="U28" s="34">
        <f t="shared" si="2"/>
        <v>19</v>
      </c>
      <c r="W28">
        <f t="shared" si="3"/>
        <v>6</v>
      </c>
      <c r="X28">
        <f>IF(IF(COUNT($D$6:$D$125)=0,C28&lt;&gt;"",AND(C28&lt;&gt;"",ISNUMBER(D28),ISNUMBER(T28))),IF(COUNT($D$6:$D$125)=0,COUNTIF($C$6:C28,"&lt;&gt;"),SUMPRODUCT(--($C$6:C28&lt;&gt;""),--ISNUMBER($D$6:D28),--ISNUMBER($T$6:T28))),"")</f>
        <v>23</v>
      </c>
    </row>
    <row r="29" spans="1:24">
      <c r="A29" s="64" t="str">
        <f t="shared" si="0"/>
        <v/>
      </c>
      <c r="B29" s="11">
        <v>24</v>
      </c>
      <c r="C29" s="69" t="s">
        <v>46</v>
      </c>
      <c r="D29" s="14">
        <v>2</v>
      </c>
      <c r="E29" s="23">
        <v>-15</v>
      </c>
      <c r="F29" s="27">
        <v>4</v>
      </c>
      <c r="G29" s="28">
        <v>2</v>
      </c>
      <c r="H29" s="16">
        <v>2</v>
      </c>
      <c r="I29" s="12">
        <v>-3</v>
      </c>
      <c r="J29" s="27">
        <v>2</v>
      </c>
      <c r="K29" s="28">
        <v>-12</v>
      </c>
      <c r="L29" s="16">
        <v>4</v>
      </c>
      <c r="M29" s="12">
        <v>2</v>
      </c>
      <c r="N29" s="27">
        <v>4</v>
      </c>
      <c r="O29" s="28">
        <v>-5</v>
      </c>
      <c r="P29" s="16">
        <v>6</v>
      </c>
      <c r="Q29" s="12">
        <v>25</v>
      </c>
      <c r="R29" s="27"/>
      <c r="S29" s="28"/>
      <c r="T29" s="33">
        <f t="shared" si="1"/>
        <v>24</v>
      </c>
      <c r="U29" s="34">
        <f t="shared" si="2"/>
        <v>-6</v>
      </c>
      <c r="W29">
        <f t="shared" si="3"/>
        <v>6</v>
      </c>
      <c r="X29">
        <f>IF(IF(COUNT($D$6:$D$125)=0,C29&lt;&gt;"",AND(C29&lt;&gt;"",ISNUMBER(D29),ISNUMBER(T29))),IF(COUNT($D$6:$D$125)=0,COUNTIF($C$6:C29,"&lt;&gt;"),SUMPRODUCT(--($C$6:C29&lt;&gt;""),--ISNUMBER($D$6:D29),--ISNUMBER($T$6:T29))),"")</f>
        <v>24</v>
      </c>
    </row>
    <row r="30" spans="1:24">
      <c r="A30" s="63">
        <f t="shared" si="0"/>
        <v>7</v>
      </c>
      <c r="B30" s="11">
        <v>25</v>
      </c>
      <c r="C30" s="69" t="s">
        <v>13</v>
      </c>
      <c r="D30" s="16">
        <v>4</v>
      </c>
      <c r="E30" s="12">
        <v>21</v>
      </c>
      <c r="F30" s="27">
        <v>2</v>
      </c>
      <c r="G30" s="28">
        <v>-16</v>
      </c>
      <c r="H30" s="16">
        <v>6</v>
      </c>
      <c r="I30" s="12">
        <v>24</v>
      </c>
      <c r="J30" s="27">
        <v>2</v>
      </c>
      <c r="K30" s="28">
        <v>-10</v>
      </c>
      <c r="L30" s="16">
        <v>2</v>
      </c>
      <c r="M30" s="12">
        <v>-11</v>
      </c>
      <c r="N30" s="27">
        <v>6</v>
      </c>
      <c r="O30" s="28">
        <v>37</v>
      </c>
      <c r="P30" s="16">
        <v>0</v>
      </c>
      <c r="Q30" s="12">
        <v>-18</v>
      </c>
      <c r="R30" s="27"/>
      <c r="S30" s="28"/>
      <c r="T30" s="33">
        <f t="shared" si="1"/>
        <v>22</v>
      </c>
      <c r="U30" s="34">
        <f t="shared" si="2"/>
        <v>27</v>
      </c>
      <c r="W30">
        <f t="shared" si="3"/>
        <v>7</v>
      </c>
      <c r="X30">
        <f>IF(IF(COUNT($D$6:$D$125)=0,C30&lt;&gt;"",AND(C30&lt;&gt;"",ISNUMBER(D30),ISNUMBER(T30))),IF(COUNT($D$6:$D$125)=0,COUNTIF($C$6:C30,"&lt;&gt;"),SUMPRODUCT(--($C$6:C30&lt;&gt;""),--ISNUMBER($D$6:D30),--ISNUMBER($T$6:T30))),"")</f>
        <v>25</v>
      </c>
    </row>
    <row r="31" spans="1:24">
      <c r="A31" s="63" t="str">
        <f t="shared" si="0"/>
        <v/>
      </c>
      <c r="B31" s="11">
        <v>26</v>
      </c>
      <c r="C31" s="69" t="s">
        <v>21</v>
      </c>
      <c r="D31" s="16">
        <v>0</v>
      </c>
      <c r="E31" s="12">
        <v>-47</v>
      </c>
      <c r="F31" s="27">
        <v>4</v>
      </c>
      <c r="G31" s="28">
        <v>17</v>
      </c>
      <c r="H31" s="16">
        <v>4</v>
      </c>
      <c r="I31" s="12">
        <v>8</v>
      </c>
      <c r="J31" s="27">
        <v>4</v>
      </c>
      <c r="K31" s="28">
        <v>11</v>
      </c>
      <c r="L31" s="16">
        <v>2</v>
      </c>
      <c r="M31" s="12">
        <v>-11</v>
      </c>
      <c r="N31" s="27">
        <v>6</v>
      </c>
      <c r="O31" s="28">
        <v>51</v>
      </c>
      <c r="P31" s="16">
        <v>2</v>
      </c>
      <c r="Q31" s="12">
        <v>-6</v>
      </c>
      <c r="R31" s="27"/>
      <c r="S31" s="28"/>
      <c r="T31" s="33">
        <f t="shared" si="1"/>
        <v>22</v>
      </c>
      <c r="U31" s="34">
        <f t="shared" si="2"/>
        <v>23</v>
      </c>
      <c r="W31">
        <f t="shared" si="3"/>
        <v>7</v>
      </c>
      <c r="X31">
        <f>IF(IF(COUNT($D$6:$D$125)=0,C31&lt;&gt;"",AND(C31&lt;&gt;"",ISNUMBER(D31),ISNUMBER(T31))),IF(COUNT($D$6:$D$125)=0,COUNTIF($C$6:C31,"&lt;&gt;"),SUMPRODUCT(--($C$6:C31&lt;&gt;""),--ISNUMBER($D$6:D31),--ISNUMBER($T$6:T31))),"")</f>
        <v>26</v>
      </c>
    </row>
    <row r="32" spans="1:24">
      <c r="A32" s="63" t="str">
        <f t="shared" si="0"/>
        <v/>
      </c>
      <c r="B32" s="11">
        <v>27</v>
      </c>
      <c r="C32" s="69" t="s">
        <v>24</v>
      </c>
      <c r="D32" s="13">
        <v>4</v>
      </c>
      <c r="E32" s="21">
        <v>10</v>
      </c>
      <c r="F32" s="27">
        <v>4</v>
      </c>
      <c r="G32" s="28">
        <v>4</v>
      </c>
      <c r="H32" s="16">
        <v>0</v>
      </c>
      <c r="I32" s="12">
        <v>-27</v>
      </c>
      <c r="J32" s="27">
        <v>6</v>
      </c>
      <c r="K32" s="28">
        <v>27</v>
      </c>
      <c r="L32" s="16">
        <v>0</v>
      </c>
      <c r="M32" s="12">
        <v>-50</v>
      </c>
      <c r="N32" s="27">
        <v>2</v>
      </c>
      <c r="O32" s="28">
        <v>-15</v>
      </c>
      <c r="P32" s="16">
        <v>6</v>
      </c>
      <c r="Q32" s="12">
        <v>53</v>
      </c>
      <c r="R32" s="27"/>
      <c r="S32" s="28"/>
      <c r="T32" s="33">
        <f t="shared" si="1"/>
        <v>22</v>
      </c>
      <c r="U32" s="34">
        <f t="shared" si="2"/>
        <v>2</v>
      </c>
      <c r="W32">
        <f t="shared" si="3"/>
        <v>7</v>
      </c>
      <c r="X32">
        <f>IF(IF(COUNT($D$6:$D$125)=0,C32&lt;&gt;"",AND(C32&lt;&gt;"",ISNUMBER(D32),ISNUMBER(T32))),IF(COUNT($D$6:$D$125)=0,COUNTIF($C$6:C32,"&lt;&gt;"),SUMPRODUCT(--($C$6:C32&lt;&gt;""),--ISNUMBER($D$6:D32),--ISNUMBER($T$6:T32))),"")</f>
        <v>27</v>
      </c>
    </row>
    <row r="33" spans="1:24">
      <c r="A33" s="63" t="str">
        <f t="shared" si="0"/>
        <v/>
      </c>
      <c r="B33" s="11">
        <v>28</v>
      </c>
      <c r="C33" s="69" t="s">
        <v>41</v>
      </c>
      <c r="D33" s="16">
        <v>0</v>
      </c>
      <c r="E33" s="23">
        <v>-37</v>
      </c>
      <c r="F33" s="27">
        <v>2</v>
      </c>
      <c r="G33" s="28">
        <v>-20</v>
      </c>
      <c r="H33" s="16">
        <v>4</v>
      </c>
      <c r="I33" s="12">
        <v>16</v>
      </c>
      <c r="J33" s="27">
        <v>2</v>
      </c>
      <c r="K33" s="28">
        <v>3</v>
      </c>
      <c r="L33" s="16">
        <v>6</v>
      </c>
      <c r="M33" s="12">
        <v>26</v>
      </c>
      <c r="N33" s="27">
        <v>4</v>
      </c>
      <c r="O33" s="28">
        <v>12</v>
      </c>
      <c r="P33" s="16">
        <v>4</v>
      </c>
      <c r="Q33" s="12">
        <v>-4</v>
      </c>
      <c r="R33" s="27"/>
      <c r="S33" s="28"/>
      <c r="T33" s="33">
        <f t="shared" si="1"/>
        <v>22</v>
      </c>
      <c r="U33" s="34">
        <f t="shared" si="2"/>
        <v>-4</v>
      </c>
      <c r="W33">
        <f t="shared" si="3"/>
        <v>7</v>
      </c>
      <c r="X33">
        <f>IF(IF(COUNT($D$6:$D$125)=0,C33&lt;&gt;"",AND(C33&lt;&gt;"",ISNUMBER(D33),ISNUMBER(T33))),IF(COUNT($D$6:$D$125)=0,COUNTIF($C$6:C33,"&lt;&gt;"),SUMPRODUCT(--($C$6:C33&lt;&gt;""),--ISNUMBER($D$6:D33),--ISNUMBER($T$6:T33))),"")</f>
        <v>28</v>
      </c>
    </row>
    <row r="34" spans="1:24">
      <c r="A34" s="64">
        <f t="shared" si="0"/>
        <v>8</v>
      </c>
      <c r="B34" s="11">
        <v>29</v>
      </c>
      <c r="C34" s="69" t="s">
        <v>25</v>
      </c>
      <c r="D34" s="13">
        <v>0</v>
      </c>
      <c r="E34" s="12">
        <v>-41</v>
      </c>
      <c r="F34" s="27">
        <v>0</v>
      </c>
      <c r="G34" s="28">
        <v>-29</v>
      </c>
      <c r="H34" s="16">
        <v>6</v>
      </c>
      <c r="I34" s="12">
        <v>21</v>
      </c>
      <c r="J34" s="27">
        <v>6</v>
      </c>
      <c r="K34" s="28">
        <v>43</v>
      </c>
      <c r="L34" s="16">
        <v>4</v>
      </c>
      <c r="M34" s="12">
        <v>-3</v>
      </c>
      <c r="N34" s="27">
        <v>6</v>
      </c>
      <c r="O34" s="28">
        <v>14</v>
      </c>
      <c r="P34" s="16">
        <v>0</v>
      </c>
      <c r="Q34" s="12">
        <v>-34</v>
      </c>
      <c r="R34" s="27"/>
      <c r="S34" s="28"/>
      <c r="T34" s="33">
        <f t="shared" si="1"/>
        <v>22</v>
      </c>
      <c r="U34" s="34">
        <f t="shared" si="2"/>
        <v>-29</v>
      </c>
      <c r="W34">
        <f t="shared" si="3"/>
        <v>8</v>
      </c>
      <c r="X34">
        <f>IF(IF(COUNT($D$6:$D$125)=0,C34&lt;&gt;"",AND(C34&lt;&gt;"",ISNUMBER(D34),ISNUMBER(T34))),IF(COUNT($D$6:$D$125)=0,COUNTIF($C$6:C34,"&lt;&gt;"),SUMPRODUCT(--($C$6:C34&lt;&gt;""),--ISNUMBER($D$6:D34),--ISNUMBER($T$6:T34))),"")</f>
        <v>29</v>
      </c>
    </row>
    <row r="35" spans="1:24">
      <c r="A35" s="64" t="str">
        <f t="shared" si="0"/>
        <v/>
      </c>
      <c r="B35" s="11">
        <v>30</v>
      </c>
      <c r="C35" s="69" t="s">
        <v>35</v>
      </c>
      <c r="D35" s="14">
        <v>5</v>
      </c>
      <c r="E35" s="23">
        <v>27</v>
      </c>
      <c r="F35" s="27">
        <v>0</v>
      </c>
      <c r="G35" s="28">
        <v>-33</v>
      </c>
      <c r="H35" s="16">
        <v>0</v>
      </c>
      <c r="I35" s="12">
        <v>-14</v>
      </c>
      <c r="J35" s="27">
        <v>4</v>
      </c>
      <c r="K35" s="28">
        <v>42</v>
      </c>
      <c r="L35" s="16">
        <v>0</v>
      </c>
      <c r="M35" s="12">
        <v>-23</v>
      </c>
      <c r="N35" s="27">
        <v>6</v>
      </c>
      <c r="O35" s="28">
        <v>14</v>
      </c>
      <c r="P35" s="16">
        <v>6</v>
      </c>
      <c r="Q35" s="12">
        <v>28</v>
      </c>
      <c r="R35" s="27"/>
      <c r="S35" s="28"/>
      <c r="T35" s="33">
        <f t="shared" si="1"/>
        <v>21</v>
      </c>
      <c r="U35" s="34">
        <f t="shared" si="2"/>
        <v>41</v>
      </c>
      <c r="W35">
        <f t="shared" si="3"/>
        <v>8</v>
      </c>
      <c r="X35">
        <f>IF(IF(COUNT($D$6:$D$125)=0,C35&lt;&gt;"",AND(C35&lt;&gt;"",ISNUMBER(D35),ISNUMBER(T35))),IF(COUNT($D$6:$D$125)=0,COUNTIF($C$6:C35,"&lt;&gt;"),SUMPRODUCT(--($C$6:C35&lt;&gt;""),--ISNUMBER($D$6:D35),--ISNUMBER($T$6:T35))),"")</f>
        <v>30</v>
      </c>
    </row>
    <row r="36" spans="1:24">
      <c r="A36" s="64" t="str">
        <f t="shared" si="0"/>
        <v/>
      </c>
      <c r="B36" s="11">
        <v>31</v>
      </c>
      <c r="C36" s="69" t="s">
        <v>59</v>
      </c>
      <c r="D36" s="16">
        <v>3</v>
      </c>
      <c r="E36" s="12">
        <v>-6</v>
      </c>
      <c r="F36" s="27">
        <v>0</v>
      </c>
      <c r="G36" s="28">
        <v>-22</v>
      </c>
      <c r="H36" s="16">
        <v>0</v>
      </c>
      <c r="I36" s="12">
        <v>-31</v>
      </c>
      <c r="J36" s="27">
        <v>4</v>
      </c>
      <c r="K36" s="28">
        <v>15</v>
      </c>
      <c r="L36" s="16">
        <v>4</v>
      </c>
      <c r="M36" s="12">
        <v>17</v>
      </c>
      <c r="N36" s="27">
        <v>6</v>
      </c>
      <c r="O36" s="28">
        <v>41</v>
      </c>
      <c r="P36" s="16">
        <v>4</v>
      </c>
      <c r="Q36" s="12">
        <v>4</v>
      </c>
      <c r="R36" s="27"/>
      <c r="S36" s="28"/>
      <c r="T36" s="33">
        <f t="shared" si="1"/>
        <v>21</v>
      </c>
      <c r="U36" s="34">
        <f t="shared" si="2"/>
        <v>18</v>
      </c>
      <c r="W36">
        <f t="shared" si="3"/>
        <v>8</v>
      </c>
      <c r="X36">
        <f>IF(IF(COUNT($D$6:$D$125)=0,C36&lt;&gt;"",AND(C36&lt;&gt;"",ISNUMBER(D36),ISNUMBER(T36))),IF(COUNT($D$6:$D$125)=0,COUNTIF($C$6:C36,"&lt;&gt;"),SUMPRODUCT(--($C$6:C36&lt;&gt;""),--ISNUMBER($D$6:D36),--ISNUMBER($T$6:T36))),"")</f>
        <v>31</v>
      </c>
    </row>
    <row r="37" spans="1:24">
      <c r="A37" s="64" t="str">
        <f t="shared" si="0"/>
        <v/>
      </c>
      <c r="B37" s="11">
        <v>32</v>
      </c>
      <c r="C37" s="69" t="s">
        <v>17</v>
      </c>
      <c r="D37" s="14">
        <v>6</v>
      </c>
      <c r="E37" s="12">
        <v>24</v>
      </c>
      <c r="F37" s="27">
        <v>4</v>
      </c>
      <c r="G37" s="28">
        <v>7</v>
      </c>
      <c r="H37" s="16">
        <v>4</v>
      </c>
      <c r="I37" s="12">
        <v>8</v>
      </c>
      <c r="J37" s="27">
        <v>0</v>
      </c>
      <c r="K37" s="28">
        <v>-39</v>
      </c>
      <c r="L37" s="16">
        <v>2</v>
      </c>
      <c r="M37" s="12">
        <v>3</v>
      </c>
      <c r="N37" s="27">
        <v>3</v>
      </c>
      <c r="O37" s="28">
        <v>0</v>
      </c>
      <c r="P37" s="16">
        <v>2</v>
      </c>
      <c r="Q37" s="12">
        <v>-7</v>
      </c>
      <c r="R37" s="27"/>
      <c r="S37" s="28"/>
      <c r="T37" s="33">
        <f t="shared" si="1"/>
        <v>21</v>
      </c>
      <c r="U37" s="34">
        <f t="shared" si="2"/>
        <v>-4</v>
      </c>
      <c r="W37">
        <f t="shared" si="3"/>
        <v>8</v>
      </c>
      <c r="X37">
        <f>IF(IF(COUNT($D$6:$D$125)=0,C37&lt;&gt;"",AND(C37&lt;&gt;"",ISNUMBER(D37),ISNUMBER(T37))),IF(COUNT($D$6:$D$125)=0,COUNTIF($C$6:C37,"&lt;&gt;"),SUMPRODUCT(--($C$6:C37&lt;&gt;""),--ISNUMBER($D$6:D37),--ISNUMBER($T$6:T37))),"")</f>
        <v>32</v>
      </c>
    </row>
    <row r="38" spans="1:24">
      <c r="A38" s="63">
        <f t="shared" ref="A38:A69" si="4">IF(W38="","",IF(ROW()=6,W38,IF(W38&lt;&gt;W37,W38,"")))</f>
        <v>9</v>
      </c>
      <c r="B38" s="11">
        <v>33</v>
      </c>
      <c r="C38" s="69" t="s">
        <v>60</v>
      </c>
      <c r="D38" s="16">
        <v>0</v>
      </c>
      <c r="E38" s="21">
        <v>-14</v>
      </c>
      <c r="F38" s="27">
        <v>2</v>
      </c>
      <c r="G38" s="28">
        <v>-5</v>
      </c>
      <c r="H38" s="16">
        <v>6</v>
      </c>
      <c r="I38" s="12">
        <v>32</v>
      </c>
      <c r="J38" s="27">
        <v>6</v>
      </c>
      <c r="K38" s="28">
        <v>31</v>
      </c>
      <c r="L38" s="16">
        <v>4</v>
      </c>
      <c r="M38" s="12">
        <v>21</v>
      </c>
      <c r="N38" s="27">
        <v>0</v>
      </c>
      <c r="O38" s="28">
        <v>-47</v>
      </c>
      <c r="P38" s="16">
        <v>2</v>
      </c>
      <c r="Q38" s="12">
        <v>-6</v>
      </c>
      <c r="R38" s="27"/>
      <c r="S38" s="28"/>
      <c r="T38" s="33">
        <f t="shared" ref="T38:T62" si="5">D38+F38+H38+J38+L38+N38+P38+R38</f>
        <v>20</v>
      </c>
      <c r="U38" s="34">
        <f t="shared" ref="U38:U62" si="6">E38+G38+I38+K38+M38+O38+Q38+S38</f>
        <v>12</v>
      </c>
      <c r="W38">
        <f t="shared" ref="W38:W69" si="7">IF(X38="","",IF(X38&lt;=4*(INT($V$2/4)-MOD($V$2,4)),ROUNDUP(X38/4,0),(INT($V$2/4)-MOD($V$2,4))+ROUNDUP((X38-4*(INT($V$2/4)-MOD($V$2,4)))/5,0)))</f>
        <v>9</v>
      </c>
      <c r="X38">
        <f>IF(IF(COUNT($D$6:$D$125)=0,C38&lt;&gt;"",AND(C38&lt;&gt;"",ISNUMBER(D38),ISNUMBER(T38))),IF(COUNT($D$6:$D$125)=0,COUNTIF($C$6:C38,"&lt;&gt;"),SUMPRODUCT(--($C$6:C38&lt;&gt;""),--ISNUMBER($D$6:D38),--ISNUMBER($T$6:T38))),"")</f>
        <v>33</v>
      </c>
    </row>
    <row r="39" spans="1:24">
      <c r="A39" s="63" t="str">
        <f t="shared" si="4"/>
        <v/>
      </c>
      <c r="B39" s="11">
        <v>34</v>
      </c>
      <c r="C39" s="69" t="s">
        <v>49</v>
      </c>
      <c r="D39" s="16">
        <v>4</v>
      </c>
      <c r="E39" s="23">
        <v>-3</v>
      </c>
      <c r="F39" s="27">
        <v>2</v>
      </c>
      <c r="G39" s="28">
        <v>-7</v>
      </c>
      <c r="H39" s="16">
        <v>4</v>
      </c>
      <c r="I39" s="12">
        <v>1</v>
      </c>
      <c r="J39" s="27">
        <v>2</v>
      </c>
      <c r="K39" s="28">
        <v>2</v>
      </c>
      <c r="L39" s="16">
        <v>6</v>
      </c>
      <c r="M39" s="12">
        <v>27</v>
      </c>
      <c r="N39" s="27">
        <v>0</v>
      </c>
      <c r="O39" s="28">
        <v>-26</v>
      </c>
      <c r="P39" s="16">
        <v>2</v>
      </c>
      <c r="Q39" s="12">
        <v>-6</v>
      </c>
      <c r="R39" s="27"/>
      <c r="S39" s="28"/>
      <c r="T39" s="33">
        <f t="shared" si="5"/>
        <v>20</v>
      </c>
      <c r="U39" s="34">
        <f t="shared" si="6"/>
        <v>-12</v>
      </c>
      <c r="W39">
        <f t="shared" si="7"/>
        <v>9</v>
      </c>
      <c r="X39">
        <f>IF(IF(COUNT($D$6:$D$125)=0,C39&lt;&gt;"",AND(C39&lt;&gt;"",ISNUMBER(D39),ISNUMBER(T39))),IF(COUNT($D$6:$D$125)=0,COUNTIF($C$6:C39,"&lt;&gt;"),SUMPRODUCT(--($C$6:C39&lt;&gt;""),--ISNUMBER($D$6:D39),--ISNUMBER($T$6:T39))),"")</f>
        <v>34</v>
      </c>
    </row>
    <row r="40" spans="1:24">
      <c r="A40" s="63" t="str">
        <f t="shared" si="4"/>
        <v/>
      </c>
      <c r="B40" s="11">
        <v>35</v>
      </c>
      <c r="C40" s="69" t="s">
        <v>44</v>
      </c>
      <c r="D40" s="13">
        <v>4</v>
      </c>
      <c r="E40" s="12">
        <v>15</v>
      </c>
      <c r="F40" s="27">
        <v>2</v>
      </c>
      <c r="G40" s="28">
        <v>-12</v>
      </c>
      <c r="H40" s="16">
        <v>5</v>
      </c>
      <c r="I40" s="12">
        <v>5</v>
      </c>
      <c r="J40" s="27">
        <v>5</v>
      </c>
      <c r="K40" s="28">
        <v>26</v>
      </c>
      <c r="L40" s="16">
        <v>0</v>
      </c>
      <c r="M40" s="12">
        <v>-13</v>
      </c>
      <c r="N40" s="27">
        <v>4</v>
      </c>
      <c r="O40" s="28">
        <v>5</v>
      </c>
      <c r="P40" s="16">
        <v>0</v>
      </c>
      <c r="Q40" s="12">
        <v>-40</v>
      </c>
      <c r="R40" s="27"/>
      <c r="S40" s="28"/>
      <c r="T40" s="33">
        <f t="shared" si="5"/>
        <v>20</v>
      </c>
      <c r="U40" s="34">
        <f t="shared" si="6"/>
        <v>-14</v>
      </c>
      <c r="W40">
        <f t="shared" si="7"/>
        <v>9</v>
      </c>
      <c r="X40">
        <f>IF(IF(COUNT($D$6:$D$125)=0,C40&lt;&gt;"",AND(C40&lt;&gt;"",ISNUMBER(D40),ISNUMBER(T40))),IF(COUNT($D$6:$D$125)=0,COUNTIF($C$6:C40,"&lt;&gt;"),SUMPRODUCT(--($C$6:C40&lt;&gt;""),--ISNUMBER($D$6:D40),--ISNUMBER($T$6:T40))),"")</f>
        <v>35</v>
      </c>
    </row>
    <row r="41" spans="1:24">
      <c r="A41" s="63" t="str">
        <f t="shared" si="4"/>
        <v/>
      </c>
      <c r="B41" s="11">
        <v>36</v>
      </c>
      <c r="C41" s="69" t="s">
        <v>11</v>
      </c>
      <c r="D41" s="14">
        <v>0</v>
      </c>
      <c r="E41" s="12">
        <v>-40</v>
      </c>
      <c r="F41" s="27">
        <v>6</v>
      </c>
      <c r="G41" s="28">
        <v>31</v>
      </c>
      <c r="H41" s="16">
        <v>0</v>
      </c>
      <c r="I41" s="12">
        <v>-12</v>
      </c>
      <c r="J41" s="27">
        <v>2</v>
      </c>
      <c r="K41" s="28">
        <v>-1</v>
      </c>
      <c r="L41" s="16">
        <v>6</v>
      </c>
      <c r="M41" s="12">
        <v>31</v>
      </c>
      <c r="N41" s="27">
        <v>2</v>
      </c>
      <c r="O41" s="28">
        <v>-18</v>
      </c>
      <c r="P41" s="16">
        <v>4</v>
      </c>
      <c r="Q41" s="12">
        <v>-8</v>
      </c>
      <c r="R41" s="27"/>
      <c r="S41" s="28"/>
      <c r="T41" s="33">
        <f t="shared" si="5"/>
        <v>20</v>
      </c>
      <c r="U41" s="34">
        <f t="shared" si="6"/>
        <v>-17</v>
      </c>
      <c r="W41">
        <f t="shared" si="7"/>
        <v>9</v>
      </c>
      <c r="X41">
        <f>IF(IF(COUNT($D$6:$D$125)=0,C41&lt;&gt;"",AND(C41&lt;&gt;"",ISNUMBER(D41),ISNUMBER(T41))),IF(COUNT($D$6:$D$125)=0,COUNTIF($C$6:C41,"&lt;&gt;"),SUMPRODUCT(--($C$6:C41&lt;&gt;""),--ISNUMBER($D$6:D41),--ISNUMBER($T$6:T41))),"")</f>
        <v>36</v>
      </c>
    </row>
    <row r="42" spans="1:24">
      <c r="A42" s="64">
        <f t="shared" si="4"/>
        <v>10</v>
      </c>
      <c r="B42" s="11">
        <v>37</v>
      </c>
      <c r="C42" s="69" t="s">
        <v>37</v>
      </c>
      <c r="D42" s="16">
        <v>0</v>
      </c>
      <c r="E42" s="21">
        <v>-33</v>
      </c>
      <c r="F42" s="27">
        <v>0</v>
      </c>
      <c r="G42" s="28">
        <v>-22</v>
      </c>
      <c r="H42" s="16">
        <v>3</v>
      </c>
      <c r="I42" s="12">
        <v>11</v>
      </c>
      <c r="J42" s="27">
        <v>6</v>
      </c>
      <c r="K42" s="28">
        <v>28</v>
      </c>
      <c r="L42" s="16">
        <v>2</v>
      </c>
      <c r="M42" s="12">
        <v>-18</v>
      </c>
      <c r="N42" s="27">
        <v>3</v>
      </c>
      <c r="O42" s="28">
        <v>-4</v>
      </c>
      <c r="P42" s="16">
        <v>6</v>
      </c>
      <c r="Q42" s="12">
        <v>19</v>
      </c>
      <c r="R42" s="27"/>
      <c r="S42" s="28"/>
      <c r="T42" s="33">
        <f t="shared" si="5"/>
        <v>20</v>
      </c>
      <c r="U42" s="34">
        <f t="shared" si="6"/>
        <v>-19</v>
      </c>
      <c r="W42">
        <f t="shared" si="7"/>
        <v>10</v>
      </c>
      <c r="X42">
        <f>IF(IF(COUNT($D$6:$D$125)=0,C42&lt;&gt;"",AND(C42&lt;&gt;"",ISNUMBER(D42),ISNUMBER(T42))),IF(COUNT($D$6:$D$125)=0,COUNTIF($C$6:C42,"&lt;&gt;"),SUMPRODUCT(--($C$6:C42&lt;&gt;""),--ISNUMBER($D$6:D42),--ISNUMBER($T$6:T42))),"")</f>
        <v>37</v>
      </c>
    </row>
    <row r="43" spans="1:24">
      <c r="A43" s="64" t="str">
        <f t="shared" si="4"/>
        <v/>
      </c>
      <c r="B43" s="11">
        <v>38</v>
      </c>
      <c r="C43" s="69" t="s">
        <v>5</v>
      </c>
      <c r="D43" s="16">
        <v>3</v>
      </c>
      <c r="E43" s="12">
        <v>0</v>
      </c>
      <c r="F43" s="27">
        <v>6</v>
      </c>
      <c r="G43" s="28">
        <v>38</v>
      </c>
      <c r="H43" s="16">
        <v>0</v>
      </c>
      <c r="I43" s="12">
        <v>-18</v>
      </c>
      <c r="J43" s="27">
        <v>2</v>
      </c>
      <c r="K43" s="28">
        <v>-9</v>
      </c>
      <c r="L43" s="16">
        <v>0</v>
      </c>
      <c r="M43" s="12">
        <v>-14</v>
      </c>
      <c r="N43" s="27">
        <v>4</v>
      </c>
      <c r="O43" s="28">
        <v>10</v>
      </c>
      <c r="P43" s="16">
        <v>4</v>
      </c>
      <c r="Q43" s="12">
        <v>-1</v>
      </c>
      <c r="R43" s="27"/>
      <c r="S43" s="28"/>
      <c r="T43" s="33">
        <f t="shared" si="5"/>
        <v>19</v>
      </c>
      <c r="U43" s="34">
        <f t="shared" si="6"/>
        <v>6</v>
      </c>
      <c r="W43">
        <f t="shared" si="7"/>
        <v>10</v>
      </c>
      <c r="X43">
        <f>IF(IF(COUNT($D$6:$D$125)=0,C43&lt;&gt;"",AND(C43&lt;&gt;"",ISNUMBER(D43),ISNUMBER(T43))),IF(COUNT($D$6:$D$125)=0,COUNTIF($C$6:C43,"&lt;&gt;"),SUMPRODUCT(--($C$6:C43&lt;&gt;""),--ISNUMBER($D$6:D43),--ISNUMBER($T$6:T43))),"")</f>
        <v>38</v>
      </c>
    </row>
    <row r="44" spans="1:24">
      <c r="A44" s="64" t="str">
        <f t="shared" si="4"/>
        <v/>
      </c>
      <c r="B44" s="11">
        <v>39</v>
      </c>
      <c r="C44" s="69" t="s">
        <v>9</v>
      </c>
      <c r="D44" s="13">
        <v>2</v>
      </c>
      <c r="E44" s="21">
        <v>20</v>
      </c>
      <c r="F44" s="27">
        <v>4</v>
      </c>
      <c r="G44" s="28">
        <v>10</v>
      </c>
      <c r="H44" s="16">
        <v>6</v>
      </c>
      <c r="I44" s="12">
        <v>28</v>
      </c>
      <c r="J44" s="27">
        <v>4</v>
      </c>
      <c r="K44" s="28">
        <v>8</v>
      </c>
      <c r="L44" s="16">
        <v>0</v>
      </c>
      <c r="M44" s="12">
        <v>-38</v>
      </c>
      <c r="N44" s="27">
        <v>0</v>
      </c>
      <c r="O44" s="28">
        <v>-24</v>
      </c>
      <c r="P44" s="16">
        <v>2</v>
      </c>
      <c r="Q44" s="12">
        <v>-15</v>
      </c>
      <c r="R44" s="27"/>
      <c r="S44" s="28"/>
      <c r="T44" s="33">
        <f t="shared" si="5"/>
        <v>18</v>
      </c>
      <c r="U44" s="34">
        <f t="shared" si="6"/>
        <v>-11</v>
      </c>
      <c r="W44">
        <f t="shared" si="7"/>
        <v>10</v>
      </c>
      <c r="X44">
        <f>IF(IF(COUNT($D$6:$D$125)=0,C44&lt;&gt;"",AND(C44&lt;&gt;"",ISNUMBER(D44),ISNUMBER(T44))),IF(COUNT($D$6:$D$125)=0,COUNTIF($C$6:C44,"&lt;&gt;"),SUMPRODUCT(--($C$6:C44&lt;&gt;""),--ISNUMBER($D$6:D44),--ISNUMBER($T$6:T44))),"")</f>
        <v>39</v>
      </c>
    </row>
    <row r="45" spans="1:24">
      <c r="A45" s="64" t="str">
        <f t="shared" si="4"/>
        <v/>
      </c>
      <c r="B45" s="11">
        <v>40</v>
      </c>
      <c r="C45" s="69" t="s">
        <v>22</v>
      </c>
      <c r="D45" s="14">
        <v>2</v>
      </c>
      <c r="E45" s="23">
        <v>4</v>
      </c>
      <c r="F45" s="27">
        <v>2</v>
      </c>
      <c r="G45" s="28">
        <v>-2</v>
      </c>
      <c r="H45" s="16">
        <v>6</v>
      </c>
      <c r="I45" s="12">
        <v>28</v>
      </c>
      <c r="J45" s="27">
        <v>0</v>
      </c>
      <c r="K45" s="28">
        <v>-21</v>
      </c>
      <c r="L45" s="16">
        <v>2</v>
      </c>
      <c r="M45" s="12">
        <v>-8</v>
      </c>
      <c r="N45" s="27">
        <v>6</v>
      </c>
      <c r="O45" s="28">
        <v>24</v>
      </c>
      <c r="P45" s="16">
        <v>0</v>
      </c>
      <c r="Q45" s="12">
        <v>-38</v>
      </c>
      <c r="R45" s="27"/>
      <c r="S45" s="28"/>
      <c r="T45" s="33">
        <f t="shared" si="5"/>
        <v>18</v>
      </c>
      <c r="U45" s="34">
        <f t="shared" si="6"/>
        <v>-13</v>
      </c>
      <c r="W45">
        <f t="shared" si="7"/>
        <v>10</v>
      </c>
      <c r="X45">
        <f>IF(IF(COUNT($D$6:$D$125)=0,C45&lt;&gt;"",AND(C45&lt;&gt;"",ISNUMBER(D45),ISNUMBER(T45))),IF(COUNT($D$6:$D$125)=0,COUNTIF($C$6:C45,"&lt;&gt;"),SUMPRODUCT(--($C$6:C45&lt;&gt;""),--ISNUMBER($D$6:D45),--ISNUMBER($T$6:T45))),"")</f>
        <v>40</v>
      </c>
    </row>
    <row r="46" spans="1:24">
      <c r="A46" s="63">
        <f t="shared" si="4"/>
        <v>11</v>
      </c>
      <c r="B46" s="11">
        <v>41</v>
      </c>
      <c r="C46" s="69" t="s">
        <v>28</v>
      </c>
      <c r="D46" s="16">
        <v>2</v>
      </c>
      <c r="E46" s="12">
        <v>-1</v>
      </c>
      <c r="F46" s="29">
        <v>6</v>
      </c>
      <c r="G46" s="30">
        <v>22</v>
      </c>
      <c r="H46" s="24">
        <v>0</v>
      </c>
      <c r="I46" s="15">
        <v>-14</v>
      </c>
      <c r="J46" s="29">
        <v>4</v>
      </c>
      <c r="K46" s="30">
        <v>11</v>
      </c>
      <c r="L46" s="24">
        <v>4</v>
      </c>
      <c r="M46" s="15">
        <v>-1</v>
      </c>
      <c r="N46" s="29">
        <v>2</v>
      </c>
      <c r="O46" s="30">
        <v>-18</v>
      </c>
      <c r="P46" s="24">
        <v>0</v>
      </c>
      <c r="Q46" s="15">
        <v>-13</v>
      </c>
      <c r="R46" s="29"/>
      <c r="S46" s="30"/>
      <c r="T46" s="33">
        <f t="shared" si="5"/>
        <v>18</v>
      </c>
      <c r="U46" s="34">
        <f t="shared" si="6"/>
        <v>-14</v>
      </c>
      <c r="W46">
        <f t="shared" si="7"/>
        <v>11</v>
      </c>
      <c r="X46">
        <f>IF(IF(COUNT($D$6:$D$125)=0,C46&lt;&gt;"",AND(C46&lt;&gt;"",ISNUMBER(D46),ISNUMBER(T46))),IF(COUNT($D$6:$D$125)=0,COUNTIF($C$6:C46,"&lt;&gt;"),SUMPRODUCT(--($C$6:C46&lt;&gt;""),--ISNUMBER($D$6:D46),--ISNUMBER($T$6:T46))),"")</f>
        <v>41</v>
      </c>
    </row>
    <row r="47" spans="1:24">
      <c r="A47" s="63" t="str">
        <f t="shared" si="4"/>
        <v/>
      </c>
      <c r="B47" s="11">
        <v>42</v>
      </c>
      <c r="C47" s="69" t="s">
        <v>69</v>
      </c>
      <c r="D47" s="16">
        <v>2</v>
      </c>
      <c r="E47" s="23">
        <v>-3</v>
      </c>
      <c r="F47" s="27">
        <v>0</v>
      </c>
      <c r="G47" s="28">
        <v>-31</v>
      </c>
      <c r="H47" s="16">
        <v>2</v>
      </c>
      <c r="I47" s="12">
        <v>-11</v>
      </c>
      <c r="J47" s="27">
        <v>2</v>
      </c>
      <c r="K47" s="28">
        <v>-7</v>
      </c>
      <c r="L47" s="16">
        <v>4</v>
      </c>
      <c r="M47" s="12">
        <v>7</v>
      </c>
      <c r="N47" s="27">
        <v>4</v>
      </c>
      <c r="O47" s="28">
        <v>5</v>
      </c>
      <c r="P47" s="16">
        <v>4</v>
      </c>
      <c r="Q47" s="12">
        <v>0</v>
      </c>
      <c r="R47" s="27"/>
      <c r="S47" s="28"/>
      <c r="T47" s="33">
        <f t="shared" si="5"/>
        <v>18</v>
      </c>
      <c r="U47" s="34">
        <f t="shared" si="6"/>
        <v>-40</v>
      </c>
      <c r="W47">
        <f t="shared" si="7"/>
        <v>11</v>
      </c>
      <c r="X47">
        <f>IF(IF(COUNT($D$6:$D$125)=0,C47&lt;&gt;"",AND(C47&lt;&gt;"",ISNUMBER(D47),ISNUMBER(T47))),IF(COUNT($D$6:$D$125)=0,COUNTIF($C$6:C47,"&lt;&gt;"),SUMPRODUCT(--($C$6:C47&lt;&gt;""),--ISNUMBER($D$6:D47),--ISNUMBER($T$6:T47))),"")</f>
        <v>42</v>
      </c>
    </row>
    <row r="48" spans="1:24">
      <c r="A48" s="63" t="str">
        <f t="shared" si="4"/>
        <v/>
      </c>
      <c r="B48" s="11">
        <v>43</v>
      </c>
      <c r="C48" s="69" t="s">
        <v>16</v>
      </c>
      <c r="D48" s="13">
        <v>0</v>
      </c>
      <c r="E48" s="12">
        <v>-20</v>
      </c>
      <c r="F48" s="27">
        <v>0</v>
      </c>
      <c r="G48" s="28">
        <v>-57</v>
      </c>
      <c r="H48" s="16">
        <v>0</v>
      </c>
      <c r="I48" s="12">
        <v>-54</v>
      </c>
      <c r="J48" s="27">
        <v>0</v>
      </c>
      <c r="K48" s="28">
        <v>-35</v>
      </c>
      <c r="L48" s="16">
        <v>6</v>
      </c>
      <c r="M48" s="12">
        <v>56</v>
      </c>
      <c r="N48" s="27">
        <v>6</v>
      </c>
      <c r="O48" s="28">
        <v>17</v>
      </c>
      <c r="P48" s="16">
        <v>6</v>
      </c>
      <c r="Q48" s="12">
        <v>53</v>
      </c>
      <c r="R48" s="27"/>
      <c r="S48" s="28"/>
      <c r="T48" s="33">
        <f t="shared" si="5"/>
        <v>18</v>
      </c>
      <c r="U48" s="34">
        <f t="shared" si="6"/>
        <v>-40</v>
      </c>
      <c r="W48">
        <f t="shared" si="7"/>
        <v>11</v>
      </c>
      <c r="X48">
        <f>IF(IF(COUNT($D$6:$D$125)=0,C48&lt;&gt;"",AND(C48&lt;&gt;"",ISNUMBER(D48),ISNUMBER(T48))),IF(COUNT($D$6:$D$125)=0,COUNTIF($C$6:C48,"&lt;&gt;"),SUMPRODUCT(--($C$6:C48&lt;&gt;""),--ISNUMBER($D$6:D48),--ISNUMBER($T$6:T48))),"")</f>
        <v>43</v>
      </c>
    </row>
    <row r="49" spans="1:24">
      <c r="A49" s="63" t="str">
        <f t="shared" si="4"/>
        <v/>
      </c>
      <c r="B49" s="11">
        <v>44</v>
      </c>
      <c r="C49" s="69" t="s">
        <v>45</v>
      </c>
      <c r="D49" s="14">
        <v>6</v>
      </c>
      <c r="E49" s="23">
        <v>22</v>
      </c>
      <c r="F49" s="27">
        <v>2</v>
      </c>
      <c r="G49" s="28">
        <v>5</v>
      </c>
      <c r="H49" s="16">
        <v>0</v>
      </c>
      <c r="I49" s="12">
        <v>-35</v>
      </c>
      <c r="J49" s="27">
        <v>3</v>
      </c>
      <c r="K49" s="28">
        <v>4</v>
      </c>
      <c r="L49" s="16">
        <v>6</v>
      </c>
      <c r="M49" s="12">
        <v>27</v>
      </c>
      <c r="N49" s="27">
        <v>0</v>
      </c>
      <c r="O49" s="28">
        <v>-21</v>
      </c>
      <c r="P49" s="16">
        <v>0</v>
      </c>
      <c r="Q49" s="12">
        <v>-23</v>
      </c>
      <c r="R49" s="27"/>
      <c r="S49" s="28"/>
      <c r="T49" s="33">
        <f t="shared" si="5"/>
        <v>17</v>
      </c>
      <c r="U49" s="34">
        <f t="shared" si="6"/>
        <v>-21</v>
      </c>
      <c r="W49">
        <f t="shared" si="7"/>
        <v>11</v>
      </c>
      <c r="X49">
        <f>IF(IF(COUNT($D$6:$D$125)=0,C49&lt;&gt;"",AND(C49&lt;&gt;"",ISNUMBER(D49),ISNUMBER(T49))),IF(COUNT($D$6:$D$125)=0,COUNTIF($C$6:C49,"&lt;&gt;"),SUMPRODUCT(--($C$6:C49&lt;&gt;""),--ISNUMBER($D$6:D49),--ISNUMBER($T$6:T49))),"")</f>
        <v>44</v>
      </c>
    </row>
    <row r="50" spans="1:24">
      <c r="A50" s="64">
        <f t="shared" si="4"/>
        <v>12</v>
      </c>
      <c r="B50" s="11">
        <v>45</v>
      </c>
      <c r="C50" s="69" t="s">
        <v>68</v>
      </c>
      <c r="D50" s="16">
        <v>4</v>
      </c>
      <c r="E50" s="12">
        <v>10</v>
      </c>
      <c r="F50" s="27">
        <v>0</v>
      </c>
      <c r="G50" s="28">
        <v>-19</v>
      </c>
      <c r="H50" s="16">
        <v>4</v>
      </c>
      <c r="I50" s="12">
        <v>3</v>
      </c>
      <c r="J50" s="27">
        <v>3</v>
      </c>
      <c r="K50" s="28">
        <v>4</v>
      </c>
      <c r="L50" s="16">
        <v>4</v>
      </c>
      <c r="M50" s="12">
        <v>-5</v>
      </c>
      <c r="N50" s="27">
        <v>0</v>
      </c>
      <c r="O50" s="28">
        <v>-20</v>
      </c>
      <c r="P50" s="16">
        <v>2</v>
      </c>
      <c r="Q50" s="12">
        <v>-3</v>
      </c>
      <c r="R50" s="27"/>
      <c r="S50" s="28"/>
      <c r="T50" s="33">
        <f t="shared" si="5"/>
        <v>17</v>
      </c>
      <c r="U50" s="34">
        <f t="shared" si="6"/>
        <v>-30</v>
      </c>
      <c r="W50">
        <f t="shared" si="7"/>
        <v>12</v>
      </c>
      <c r="X50">
        <f>IF(IF(COUNT($D$6:$D$125)=0,C50&lt;&gt;"",AND(C50&lt;&gt;"",ISNUMBER(D50),ISNUMBER(T50))),IF(COUNT($D$6:$D$125)=0,COUNTIF($C$6:C50,"&lt;&gt;"),SUMPRODUCT(--($C$6:C50&lt;&gt;""),--ISNUMBER($D$6:D50),--ISNUMBER($T$6:T50))),"")</f>
        <v>45</v>
      </c>
    </row>
    <row r="51" spans="1:24">
      <c r="A51" s="64" t="str">
        <f t="shared" si="4"/>
        <v/>
      </c>
      <c r="B51" s="11">
        <v>46</v>
      </c>
      <c r="C51" s="69" t="s">
        <v>33</v>
      </c>
      <c r="D51" s="16">
        <v>4</v>
      </c>
      <c r="E51" s="23">
        <v>17</v>
      </c>
      <c r="F51" s="27">
        <v>6</v>
      </c>
      <c r="G51" s="28">
        <v>39</v>
      </c>
      <c r="H51" s="16">
        <v>3</v>
      </c>
      <c r="I51" s="12">
        <v>5</v>
      </c>
      <c r="J51" s="27">
        <v>0</v>
      </c>
      <c r="K51" s="28">
        <v>-23</v>
      </c>
      <c r="L51" s="16">
        <v>0</v>
      </c>
      <c r="M51" s="12">
        <v>-33</v>
      </c>
      <c r="N51" s="27">
        <v>0</v>
      </c>
      <c r="O51" s="28">
        <v>-34</v>
      </c>
      <c r="P51" s="16">
        <v>4</v>
      </c>
      <c r="Q51" s="12">
        <v>-3</v>
      </c>
      <c r="R51" s="27"/>
      <c r="S51" s="28"/>
      <c r="T51" s="33">
        <f t="shared" si="5"/>
        <v>17</v>
      </c>
      <c r="U51" s="34">
        <f t="shared" si="6"/>
        <v>-32</v>
      </c>
      <c r="W51">
        <f t="shared" si="7"/>
        <v>12</v>
      </c>
      <c r="X51">
        <f>IF(IF(COUNT($D$6:$D$125)=0,C51&lt;&gt;"",AND(C51&lt;&gt;"",ISNUMBER(D51),ISNUMBER(T51))),IF(COUNT($D$6:$D$125)=0,COUNTIF($C$6:C51,"&lt;&gt;"),SUMPRODUCT(--($C$6:C51&lt;&gt;""),--ISNUMBER($D$6:D51),--ISNUMBER($T$6:T51))),"")</f>
        <v>46</v>
      </c>
    </row>
    <row r="52" spans="1:24">
      <c r="A52" s="64" t="str">
        <f t="shared" si="4"/>
        <v/>
      </c>
      <c r="B52" s="11">
        <v>47</v>
      </c>
      <c r="C52" s="69" t="s">
        <v>8</v>
      </c>
      <c r="D52" s="13">
        <v>4</v>
      </c>
      <c r="E52" s="12">
        <v>24</v>
      </c>
      <c r="F52" s="27">
        <v>4</v>
      </c>
      <c r="G52" s="28">
        <v>10</v>
      </c>
      <c r="H52" s="16">
        <v>2</v>
      </c>
      <c r="I52" s="12">
        <v>-15</v>
      </c>
      <c r="J52" s="27">
        <v>2</v>
      </c>
      <c r="K52" s="28">
        <v>-5</v>
      </c>
      <c r="L52" s="16">
        <v>0</v>
      </c>
      <c r="M52" s="12">
        <v>-16</v>
      </c>
      <c r="N52" s="27">
        <v>4</v>
      </c>
      <c r="O52" s="28">
        <v>16</v>
      </c>
      <c r="P52" s="16">
        <v>0</v>
      </c>
      <c r="Q52" s="12">
        <v>-30</v>
      </c>
      <c r="R52" s="27"/>
      <c r="S52" s="28"/>
      <c r="T52" s="33">
        <f t="shared" si="5"/>
        <v>16</v>
      </c>
      <c r="U52" s="34">
        <f t="shared" si="6"/>
        <v>-16</v>
      </c>
      <c r="W52">
        <f t="shared" si="7"/>
        <v>12</v>
      </c>
      <c r="X52">
        <f>IF(IF(COUNT($D$6:$D$125)=0,C52&lt;&gt;"",AND(C52&lt;&gt;"",ISNUMBER(D52),ISNUMBER(T52))),IF(COUNT($D$6:$D$125)=0,COUNTIF($C$6:C52,"&lt;&gt;"),SUMPRODUCT(--($C$6:C52&lt;&gt;""),--ISNUMBER($D$6:D52),--ISNUMBER($T$6:T52))),"")</f>
        <v>47</v>
      </c>
    </row>
    <row r="53" spans="1:24">
      <c r="A53" s="64" t="str">
        <f t="shared" si="4"/>
        <v/>
      </c>
      <c r="B53" s="11">
        <v>48</v>
      </c>
      <c r="C53" s="69" t="s">
        <v>19</v>
      </c>
      <c r="D53" s="14">
        <v>2</v>
      </c>
      <c r="E53" s="12">
        <v>3</v>
      </c>
      <c r="F53" s="27">
        <v>4</v>
      </c>
      <c r="G53" s="28">
        <v>21</v>
      </c>
      <c r="H53" s="16">
        <v>2</v>
      </c>
      <c r="I53" s="12">
        <v>-9</v>
      </c>
      <c r="J53" s="27">
        <v>0</v>
      </c>
      <c r="K53" s="28">
        <v>-33</v>
      </c>
      <c r="L53" s="16">
        <v>0</v>
      </c>
      <c r="M53" s="12">
        <v>-21</v>
      </c>
      <c r="N53" s="27">
        <v>2</v>
      </c>
      <c r="O53" s="28">
        <v>-12</v>
      </c>
      <c r="P53" s="16">
        <v>6</v>
      </c>
      <c r="Q53" s="12">
        <v>35</v>
      </c>
      <c r="R53" s="27"/>
      <c r="S53" s="28"/>
      <c r="T53" s="33">
        <f t="shared" si="5"/>
        <v>16</v>
      </c>
      <c r="U53" s="34">
        <f t="shared" si="6"/>
        <v>-16</v>
      </c>
      <c r="W53">
        <f t="shared" si="7"/>
        <v>12</v>
      </c>
      <c r="X53">
        <f>IF(IF(COUNT($D$6:$D$125)=0,C53&lt;&gt;"",AND(C53&lt;&gt;"",ISNUMBER(D53),ISNUMBER(T53))),IF(COUNT($D$6:$D$125)=0,COUNTIF($C$6:C53,"&lt;&gt;"),SUMPRODUCT(--($C$6:C53&lt;&gt;""),--ISNUMBER($D$6:D53),--ISNUMBER($T$6:T53))),"")</f>
        <v>48</v>
      </c>
    </row>
    <row r="54" spans="1:24">
      <c r="A54" s="63">
        <f t="shared" si="4"/>
        <v>13</v>
      </c>
      <c r="B54" s="11">
        <v>49</v>
      </c>
      <c r="C54" s="69" t="s">
        <v>57</v>
      </c>
      <c r="D54" s="16">
        <v>4</v>
      </c>
      <c r="E54" s="21">
        <v>11</v>
      </c>
      <c r="F54" s="27">
        <v>4</v>
      </c>
      <c r="G54" s="28">
        <v>6</v>
      </c>
      <c r="H54" s="16">
        <v>4</v>
      </c>
      <c r="I54" s="12">
        <v>1</v>
      </c>
      <c r="J54" s="27">
        <v>0</v>
      </c>
      <c r="K54" s="28">
        <v>-37</v>
      </c>
      <c r="L54" s="16">
        <v>0</v>
      </c>
      <c r="M54" s="12">
        <v>-13</v>
      </c>
      <c r="N54" s="27">
        <v>2</v>
      </c>
      <c r="O54" s="28">
        <v>-14</v>
      </c>
      <c r="P54" s="16">
        <v>2</v>
      </c>
      <c r="Q54" s="12">
        <v>-3</v>
      </c>
      <c r="R54" s="27"/>
      <c r="S54" s="28"/>
      <c r="T54" s="33">
        <f t="shared" si="5"/>
        <v>16</v>
      </c>
      <c r="U54" s="34">
        <f t="shared" si="6"/>
        <v>-49</v>
      </c>
      <c r="W54">
        <f t="shared" si="7"/>
        <v>13</v>
      </c>
      <c r="X54">
        <f>IF(IF(COUNT($D$6:$D$125)=0,C54&lt;&gt;"",AND(C54&lt;&gt;"",ISNUMBER(D54),ISNUMBER(T54))),IF(COUNT($D$6:$D$125)=0,COUNTIF($C$6:C54,"&lt;&gt;"),SUMPRODUCT(--($C$6:C54&lt;&gt;""),--ISNUMBER($D$6:D54),--ISNUMBER($T$6:T54))),"")</f>
        <v>49</v>
      </c>
    </row>
    <row r="55" spans="1:24">
      <c r="A55" s="63" t="str">
        <f t="shared" si="4"/>
        <v/>
      </c>
      <c r="B55" s="11">
        <v>50</v>
      </c>
      <c r="C55" s="69" t="s">
        <v>43</v>
      </c>
      <c r="D55" s="16">
        <v>2</v>
      </c>
      <c r="E55" s="12">
        <v>-12</v>
      </c>
      <c r="F55" s="27">
        <v>4</v>
      </c>
      <c r="G55" s="28">
        <v>10</v>
      </c>
      <c r="H55" s="16">
        <v>5</v>
      </c>
      <c r="I55" s="12">
        <v>5</v>
      </c>
      <c r="J55" s="27">
        <v>2</v>
      </c>
      <c r="K55" s="28">
        <v>4</v>
      </c>
      <c r="L55" s="16">
        <v>2</v>
      </c>
      <c r="M55" s="12">
        <v>-7</v>
      </c>
      <c r="N55" s="27">
        <v>0</v>
      </c>
      <c r="O55" s="28">
        <v>-14</v>
      </c>
      <c r="P55" s="16">
        <v>0</v>
      </c>
      <c r="Q55" s="12">
        <v>-24</v>
      </c>
      <c r="R55" s="27"/>
      <c r="S55" s="28"/>
      <c r="T55" s="33">
        <f t="shared" si="5"/>
        <v>15</v>
      </c>
      <c r="U55" s="34">
        <f t="shared" si="6"/>
        <v>-38</v>
      </c>
      <c r="W55">
        <f t="shared" si="7"/>
        <v>13</v>
      </c>
      <c r="X55">
        <f>IF(IF(COUNT($D$6:$D$125)=0,C55&lt;&gt;"",AND(C55&lt;&gt;"",ISNUMBER(D55),ISNUMBER(T55))),IF(COUNT($D$6:$D$125)=0,COUNTIF($C$6:C55,"&lt;&gt;"),SUMPRODUCT(--($C$6:C55&lt;&gt;""),--ISNUMBER($D$6:D55),--ISNUMBER($T$6:T55))),"")</f>
        <v>50</v>
      </c>
    </row>
    <row r="56" spans="1:24">
      <c r="A56" s="63" t="str">
        <f t="shared" si="4"/>
        <v/>
      </c>
      <c r="B56" s="11">
        <v>51</v>
      </c>
      <c r="C56" s="69" t="s">
        <v>53</v>
      </c>
      <c r="D56" s="16">
        <v>2</v>
      </c>
      <c r="E56" s="77">
        <v>-16</v>
      </c>
      <c r="F56" s="27">
        <v>2</v>
      </c>
      <c r="G56" s="28">
        <v>-9</v>
      </c>
      <c r="H56" s="16">
        <v>0</v>
      </c>
      <c r="I56" s="12">
        <v>-24</v>
      </c>
      <c r="J56" s="27">
        <v>6</v>
      </c>
      <c r="K56" s="28">
        <v>16</v>
      </c>
      <c r="L56" s="16">
        <v>4</v>
      </c>
      <c r="M56" s="12">
        <v>20</v>
      </c>
      <c r="N56" s="27">
        <v>0</v>
      </c>
      <c r="O56" s="28">
        <v>-31</v>
      </c>
      <c r="P56" s="16">
        <v>0</v>
      </c>
      <c r="Q56" s="12">
        <v>-16</v>
      </c>
      <c r="R56" s="27"/>
      <c r="S56" s="28"/>
      <c r="T56" s="33">
        <f t="shared" si="5"/>
        <v>14</v>
      </c>
      <c r="U56" s="34">
        <f t="shared" si="6"/>
        <v>-60</v>
      </c>
      <c r="W56">
        <f t="shared" si="7"/>
        <v>13</v>
      </c>
      <c r="X56">
        <f>IF(IF(COUNT($D$6:$D$125)=0,C56&lt;&gt;"",AND(C56&lt;&gt;"",ISNUMBER(D56),ISNUMBER(T56))),IF(COUNT($D$6:$D$125)=0,COUNTIF($C$6:C56,"&lt;&gt;"),SUMPRODUCT(--($C$6:C56&lt;&gt;""),--ISNUMBER($D$6:D56),--ISNUMBER($T$6:T56))),"")</f>
        <v>51</v>
      </c>
    </row>
    <row r="57" spans="1:24">
      <c r="A57" s="63" t="str">
        <f t="shared" si="4"/>
        <v/>
      </c>
      <c r="B57" s="11">
        <v>52</v>
      </c>
      <c r="C57" s="69" t="s">
        <v>39</v>
      </c>
      <c r="D57" s="16">
        <v>2</v>
      </c>
      <c r="E57" s="12">
        <v>-16</v>
      </c>
      <c r="F57" s="27">
        <v>0</v>
      </c>
      <c r="G57" s="28">
        <v>-14</v>
      </c>
      <c r="H57" s="16">
        <v>6</v>
      </c>
      <c r="I57" s="12">
        <v>18</v>
      </c>
      <c r="J57" s="27">
        <v>0</v>
      </c>
      <c r="K57" s="28">
        <v>-26</v>
      </c>
      <c r="L57" s="16">
        <v>2</v>
      </c>
      <c r="M57" s="12">
        <v>-18</v>
      </c>
      <c r="N57" s="27">
        <v>2</v>
      </c>
      <c r="O57" s="28">
        <v>-5</v>
      </c>
      <c r="P57" s="16">
        <v>2</v>
      </c>
      <c r="Q57" s="12">
        <v>-20</v>
      </c>
      <c r="R57" s="27"/>
      <c r="S57" s="28"/>
      <c r="T57" s="33">
        <f t="shared" si="5"/>
        <v>14</v>
      </c>
      <c r="U57" s="34">
        <f t="shared" si="6"/>
        <v>-81</v>
      </c>
      <c r="W57">
        <f t="shared" si="7"/>
        <v>13</v>
      </c>
      <c r="X57">
        <f>IF(IF(COUNT($D$6:$D$125)=0,C57&lt;&gt;"",AND(C57&lt;&gt;"",ISNUMBER(D57),ISNUMBER(T57))),IF(COUNT($D$6:$D$125)=0,COUNTIF($C$6:C57,"&lt;&gt;"),SUMPRODUCT(--($C$6:C57&lt;&gt;""),--ISNUMBER($D$6:D57),--ISNUMBER($T$6:T57))),"")</f>
        <v>52</v>
      </c>
    </row>
    <row r="58" spans="1:24">
      <c r="A58" s="64">
        <f t="shared" si="4"/>
        <v>14</v>
      </c>
      <c r="B58" s="11">
        <v>53</v>
      </c>
      <c r="C58" s="69" t="s">
        <v>71</v>
      </c>
      <c r="D58" s="13">
        <v>0</v>
      </c>
      <c r="E58" s="12">
        <v>-86</v>
      </c>
      <c r="F58" s="27">
        <v>3</v>
      </c>
      <c r="G58" s="28">
        <v>1</v>
      </c>
      <c r="H58" s="16">
        <v>2</v>
      </c>
      <c r="I58" s="12">
        <v>-2</v>
      </c>
      <c r="J58" s="27">
        <v>0</v>
      </c>
      <c r="K58" s="28">
        <v>-11</v>
      </c>
      <c r="L58" s="16">
        <v>2</v>
      </c>
      <c r="M58" s="12">
        <v>-28</v>
      </c>
      <c r="N58" s="27">
        <v>3</v>
      </c>
      <c r="O58" s="28">
        <v>3</v>
      </c>
      <c r="P58" s="16">
        <v>4</v>
      </c>
      <c r="Q58" s="12">
        <v>16</v>
      </c>
      <c r="R58" s="27"/>
      <c r="S58" s="28"/>
      <c r="T58" s="33">
        <f t="shared" si="5"/>
        <v>14</v>
      </c>
      <c r="U58" s="34">
        <f t="shared" si="6"/>
        <v>-107</v>
      </c>
      <c r="W58">
        <f t="shared" si="7"/>
        <v>14</v>
      </c>
      <c r="X58">
        <f>IF(IF(COUNT($D$6:$D$125)=0,C58&lt;&gt;"",AND(C58&lt;&gt;"",ISNUMBER(D58),ISNUMBER(T58))),IF(COUNT($D$6:$D$125)=0,COUNTIF($C$6:C58,"&lt;&gt;"),SUMPRODUCT(--($C$6:C58&lt;&gt;""),--ISNUMBER($D$6:D58),--ISNUMBER($T$6:T58))),"")</f>
        <v>53</v>
      </c>
    </row>
    <row r="59" spans="1:24">
      <c r="A59" s="64" t="str">
        <f t="shared" si="4"/>
        <v/>
      </c>
      <c r="B59" s="11">
        <v>54</v>
      </c>
      <c r="C59" s="69" t="s">
        <v>47</v>
      </c>
      <c r="D59" s="14">
        <v>0</v>
      </c>
      <c r="E59" s="23">
        <v>-17</v>
      </c>
      <c r="F59" s="27">
        <v>2</v>
      </c>
      <c r="G59" s="28">
        <v>13</v>
      </c>
      <c r="H59" s="16">
        <v>4</v>
      </c>
      <c r="I59" s="12">
        <v>1</v>
      </c>
      <c r="J59" s="27">
        <v>0</v>
      </c>
      <c r="K59" s="28">
        <v>-21</v>
      </c>
      <c r="L59" s="16">
        <v>3</v>
      </c>
      <c r="M59" s="12">
        <v>0</v>
      </c>
      <c r="N59" s="27">
        <v>0</v>
      </c>
      <c r="O59" s="28">
        <v>-15</v>
      </c>
      <c r="P59" s="16">
        <v>3</v>
      </c>
      <c r="Q59" s="12">
        <v>12</v>
      </c>
      <c r="R59" s="27"/>
      <c r="S59" s="28"/>
      <c r="T59" s="33">
        <f t="shared" si="5"/>
        <v>12</v>
      </c>
      <c r="U59" s="34">
        <f t="shared" si="6"/>
        <v>-27</v>
      </c>
      <c r="W59">
        <f t="shared" si="7"/>
        <v>14</v>
      </c>
      <c r="X59">
        <f>IF(IF(COUNT($D$6:$D$125)=0,C59&lt;&gt;"",AND(C59&lt;&gt;"",ISNUMBER(D59),ISNUMBER(T59))),IF(COUNT($D$6:$D$125)=0,COUNTIF($C$6:C59,"&lt;&gt;"),SUMPRODUCT(--($C$6:C59&lt;&gt;""),--ISNUMBER($D$6:D59),--ISNUMBER($T$6:T59))),"")</f>
        <v>54</v>
      </c>
    </row>
    <row r="60" spans="1:24">
      <c r="A60" s="64" t="str">
        <f t="shared" si="4"/>
        <v/>
      </c>
      <c r="B60" s="11">
        <v>55</v>
      </c>
      <c r="C60" s="69" t="s">
        <v>42</v>
      </c>
      <c r="D60" s="16">
        <v>0</v>
      </c>
      <c r="E60" s="12">
        <v>-25</v>
      </c>
      <c r="F60" s="27">
        <v>4</v>
      </c>
      <c r="G60" s="28">
        <v>10</v>
      </c>
      <c r="H60" s="16">
        <v>0</v>
      </c>
      <c r="I60" s="12">
        <v>-14</v>
      </c>
      <c r="J60" s="27">
        <v>4</v>
      </c>
      <c r="K60" s="28">
        <v>2</v>
      </c>
      <c r="L60" s="16">
        <v>4</v>
      </c>
      <c r="M60" s="12">
        <v>10</v>
      </c>
      <c r="N60" s="27">
        <v>0</v>
      </c>
      <c r="O60" s="28">
        <v>-37</v>
      </c>
      <c r="P60" s="16">
        <v>0</v>
      </c>
      <c r="Q60" s="12">
        <v>-30</v>
      </c>
      <c r="R60" s="27"/>
      <c r="S60" s="28"/>
      <c r="T60" s="33">
        <f t="shared" si="5"/>
        <v>12</v>
      </c>
      <c r="U60" s="34">
        <f t="shared" si="6"/>
        <v>-84</v>
      </c>
      <c r="W60">
        <f t="shared" si="7"/>
        <v>14</v>
      </c>
      <c r="X60">
        <f>IF(IF(COUNT($D$6:$D$125)=0,C60&lt;&gt;"",AND(C60&lt;&gt;"",ISNUMBER(D60),ISNUMBER(T60))),IF(COUNT($D$6:$D$125)=0,COUNTIF($C$6:C60,"&lt;&gt;"),SUMPRODUCT(--($C$6:C60&lt;&gt;""),--ISNUMBER($D$6:D60),--ISNUMBER($T$6:T60))),"")</f>
        <v>55</v>
      </c>
    </row>
    <row r="61" spans="1:24">
      <c r="A61" s="64" t="str">
        <f t="shared" si="4"/>
        <v/>
      </c>
      <c r="B61" s="11">
        <v>56</v>
      </c>
      <c r="C61" s="69" t="s">
        <v>30</v>
      </c>
      <c r="D61" s="16">
        <v>2</v>
      </c>
      <c r="E61" s="23">
        <v>-10</v>
      </c>
      <c r="F61" s="27">
        <v>0</v>
      </c>
      <c r="G61" s="28">
        <v>-39</v>
      </c>
      <c r="H61" s="16">
        <v>4</v>
      </c>
      <c r="I61" s="12">
        <v>8</v>
      </c>
      <c r="J61" s="27">
        <v>0</v>
      </c>
      <c r="K61" s="28">
        <v>-88</v>
      </c>
      <c r="L61" s="16">
        <v>0</v>
      </c>
      <c r="M61" s="12">
        <v>-35</v>
      </c>
      <c r="N61" s="27">
        <v>4</v>
      </c>
      <c r="O61" s="28">
        <v>7</v>
      </c>
      <c r="P61" s="16">
        <v>2</v>
      </c>
      <c r="Q61" s="12">
        <v>6</v>
      </c>
      <c r="R61" s="27"/>
      <c r="S61" s="28"/>
      <c r="T61" s="33">
        <f t="shared" si="5"/>
        <v>12</v>
      </c>
      <c r="U61" s="34">
        <f t="shared" si="6"/>
        <v>-151</v>
      </c>
      <c r="W61">
        <f t="shared" si="7"/>
        <v>14</v>
      </c>
      <c r="X61">
        <f>IF(IF(COUNT($D$6:$D$125)=0,C61&lt;&gt;"",AND(C61&lt;&gt;"",ISNUMBER(D61),ISNUMBER(T61))),IF(COUNT($D$6:$D$125)=0,COUNTIF($C$6:C61,"&lt;&gt;"),SUMPRODUCT(--($C$6:C61&lt;&gt;""),--ISNUMBER($D$6:D61),--ISNUMBER($T$6:T61))),"")</f>
        <v>56</v>
      </c>
    </row>
    <row r="62" spans="1:24">
      <c r="A62" s="63" t="str">
        <f t="shared" si="4"/>
        <v/>
      </c>
      <c r="B62" s="11">
        <v>57</v>
      </c>
      <c r="C62" s="69" t="s">
        <v>38</v>
      </c>
      <c r="D62" s="13">
        <v>4</v>
      </c>
      <c r="E62" s="12">
        <v>-1</v>
      </c>
      <c r="F62" s="27">
        <v>0</v>
      </c>
      <c r="G62" s="28">
        <v>-26</v>
      </c>
      <c r="H62" s="16">
        <v>2</v>
      </c>
      <c r="I62" s="12">
        <v>-7</v>
      </c>
      <c r="J62" s="27">
        <v>4</v>
      </c>
      <c r="K62" s="28">
        <v>7</v>
      </c>
      <c r="L62" s="16">
        <v>0</v>
      </c>
      <c r="M62" s="12">
        <v>-18</v>
      </c>
      <c r="N62" s="27">
        <v>0</v>
      </c>
      <c r="O62" s="28">
        <v>-10</v>
      </c>
      <c r="P62" s="16">
        <v>0</v>
      </c>
      <c r="Q62" s="12">
        <v>-69</v>
      </c>
      <c r="R62" s="27"/>
      <c r="S62" s="28"/>
      <c r="T62" s="33">
        <f t="shared" si="5"/>
        <v>10</v>
      </c>
      <c r="U62" s="34">
        <f t="shared" si="6"/>
        <v>-124</v>
      </c>
      <c r="W62">
        <f t="shared" si="7"/>
        <v>14</v>
      </c>
      <c r="X62">
        <f>IF(IF(COUNT($D$6:$D$125)=0,C62&lt;&gt;"",AND(C62&lt;&gt;"",ISNUMBER(D62),ISNUMBER(T62))),IF(COUNT($D$6:$D$125)=0,COUNTIF($C$6:C62,"&lt;&gt;"),SUMPRODUCT(--($C$6:C62&lt;&gt;""),--ISNUMBER($D$6:D62),--ISNUMBER($T$6:T62))),"")</f>
        <v>57</v>
      </c>
    </row>
    <row r="63" spans="1:24">
      <c r="A63" s="63" t="str">
        <f t="shared" si="4"/>
        <v/>
      </c>
      <c r="B63" s="11">
        <v>58</v>
      </c>
      <c r="C63" s="78" t="s">
        <v>15</v>
      </c>
      <c r="D63" s="75">
        <v>4</v>
      </c>
      <c r="E63" s="76">
        <v>13</v>
      </c>
      <c r="F63" s="73">
        <v>0</v>
      </c>
      <c r="G63" s="74">
        <v>-21</v>
      </c>
      <c r="H63" s="75">
        <v>2</v>
      </c>
      <c r="I63" s="76">
        <v>-9</v>
      </c>
      <c r="J63" s="73">
        <v>4</v>
      </c>
      <c r="K63" s="74">
        <v>6</v>
      </c>
      <c r="L63" s="75">
        <v>2</v>
      </c>
      <c r="M63" s="76">
        <v>-5</v>
      </c>
      <c r="N63" s="73">
        <v>2</v>
      </c>
      <c r="O63" s="74">
        <v>-6</v>
      </c>
      <c r="P63" s="16"/>
      <c r="Q63" s="12"/>
      <c r="R63" s="27"/>
      <c r="S63" s="28"/>
      <c r="T63" s="33"/>
      <c r="U63" s="34">
        <f t="shared" ref="U63:U70" si="8">E63+G63+I63+K63+M63+O63+Q63+S63</f>
        <v>-22</v>
      </c>
      <c r="W63" t="str">
        <f t="shared" si="7"/>
        <v/>
      </c>
      <c r="X63" t="str">
        <f>IF(IF(COUNT($D$6:$D$125)=0,C63&lt;&gt;"",AND(C63&lt;&gt;"",ISNUMBER(D63),ISNUMBER(T63))),IF(COUNT($D$6:$D$125)=0,COUNTIF($C$6:C63,"&lt;&gt;"),SUMPRODUCT(--($C$6:C63&lt;&gt;""),--ISNUMBER($D$6:D63),--ISNUMBER($T$6:T63))),"")</f>
        <v/>
      </c>
    </row>
    <row r="64" spans="1:24">
      <c r="A64" s="63" t="str">
        <f t="shared" si="4"/>
        <v/>
      </c>
      <c r="B64" s="11">
        <v>59</v>
      </c>
      <c r="C64" s="78" t="s">
        <v>12</v>
      </c>
      <c r="D64" s="71">
        <v>6</v>
      </c>
      <c r="E64" s="72">
        <v>30</v>
      </c>
      <c r="F64" s="73">
        <v>4</v>
      </c>
      <c r="G64" s="74">
        <v>3</v>
      </c>
      <c r="H64" s="75">
        <v>3</v>
      </c>
      <c r="I64" s="76">
        <v>5</v>
      </c>
      <c r="J64" s="73">
        <v>2</v>
      </c>
      <c r="K64" s="74">
        <v>0</v>
      </c>
      <c r="L64" s="75">
        <v>0</v>
      </c>
      <c r="M64" s="76">
        <v>-41</v>
      </c>
      <c r="N64" s="27"/>
      <c r="O64" s="28"/>
      <c r="P64" s="16"/>
      <c r="Q64" s="12"/>
      <c r="R64" s="27"/>
      <c r="S64" s="28"/>
      <c r="T64" s="33"/>
      <c r="U64" s="34">
        <f t="shared" si="8"/>
        <v>-3</v>
      </c>
      <c r="W64" t="str">
        <f t="shared" si="7"/>
        <v/>
      </c>
      <c r="X64" t="str">
        <f>IF(IF(COUNT($D$6:$D$125)=0,C64&lt;&gt;"",AND(C64&lt;&gt;"",ISNUMBER(D64),ISNUMBER(T64))),IF(COUNT($D$6:$D$125)=0,COUNTIF($C$6:C64,"&lt;&gt;"),SUMPRODUCT(--($C$6:C64&lt;&gt;""),--ISNUMBER($D$6:D64),--ISNUMBER($T$6:T64))),"")</f>
        <v/>
      </c>
    </row>
    <row r="65" spans="1:24" ht="15.75" thickBot="1">
      <c r="A65" s="65" t="str">
        <f t="shared" si="4"/>
        <v/>
      </c>
      <c r="B65" s="56">
        <v>60</v>
      </c>
      <c r="C65" s="81" t="s">
        <v>29</v>
      </c>
      <c r="D65" s="82">
        <v>0</v>
      </c>
      <c r="E65" s="83">
        <v>-3</v>
      </c>
      <c r="F65" s="84">
        <v>0</v>
      </c>
      <c r="G65" s="85">
        <v>-12</v>
      </c>
      <c r="H65" s="82">
        <v>2</v>
      </c>
      <c r="I65" s="83">
        <v>6</v>
      </c>
      <c r="J65" s="84">
        <v>2</v>
      </c>
      <c r="K65" s="85">
        <v>-8</v>
      </c>
      <c r="L65" s="82"/>
      <c r="M65" s="83"/>
      <c r="N65" s="59"/>
      <c r="O65" s="60"/>
      <c r="P65" s="57"/>
      <c r="Q65" s="58"/>
      <c r="R65" s="59"/>
      <c r="S65" s="60"/>
      <c r="T65" s="61"/>
      <c r="U65" s="62">
        <f t="shared" si="8"/>
        <v>-17</v>
      </c>
      <c r="W65" t="str">
        <f t="shared" si="7"/>
        <v/>
      </c>
      <c r="X65" t="str">
        <f>IF(IF(COUNT($D$6:$D$125)=0,C65&lt;&gt;"",AND(C65&lt;&gt;"",ISNUMBER(D65),ISNUMBER(T65))),IF(COUNT($D$6:$D$125)=0,COUNTIF($C$6:C65,"&lt;&gt;"),SUMPRODUCT(--($C$6:C65&lt;&gt;""),--ISNUMBER($D$6:D65),--ISNUMBER($T$6:T65))),"")</f>
        <v/>
      </c>
    </row>
    <row r="66" spans="1:24">
      <c r="A66" s="64" t="str">
        <f t="shared" si="4"/>
        <v/>
      </c>
      <c r="B66" s="11">
        <v>61</v>
      </c>
      <c r="C66" s="80" t="s">
        <v>74</v>
      </c>
      <c r="D66" s="86">
        <v>4</v>
      </c>
      <c r="E66" s="87">
        <v>8</v>
      </c>
      <c r="F66" s="88">
        <v>2</v>
      </c>
      <c r="G66" s="89">
        <v>-2</v>
      </c>
      <c r="H66" s="86">
        <v>2</v>
      </c>
      <c r="I66" s="87">
        <v>-15</v>
      </c>
      <c r="J66" s="88">
        <v>0</v>
      </c>
      <c r="K66" s="89">
        <v>-13</v>
      </c>
      <c r="L66" s="86">
        <v>2</v>
      </c>
      <c r="M66" s="87">
        <v>-20</v>
      </c>
      <c r="N66" s="52"/>
      <c r="O66" s="53"/>
      <c r="P66" s="13"/>
      <c r="Q66" s="21"/>
      <c r="R66" s="52"/>
      <c r="S66" s="53"/>
      <c r="T66" s="54"/>
      <c r="U66" s="55">
        <f t="shared" si="8"/>
        <v>-42</v>
      </c>
      <c r="W66" t="str">
        <f t="shared" si="7"/>
        <v/>
      </c>
      <c r="X66" t="str">
        <f>IF(IF(COUNT($D$6:$D$125)=0,C66&lt;&gt;"",AND(C66&lt;&gt;"",ISNUMBER(D66),ISNUMBER(T66))),IF(COUNT($D$6:$D$125)=0,COUNTIF($C$6:C66,"&lt;&gt;"),SUMPRODUCT(--($C$6:C66&lt;&gt;""),--ISNUMBER($D$6:D66),--ISNUMBER($T$6:T66))),"")</f>
        <v/>
      </c>
    </row>
    <row r="67" spans="1:24">
      <c r="A67" s="64" t="str">
        <f t="shared" si="4"/>
        <v/>
      </c>
      <c r="B67" s="11">
        <v>62</v>
      </c>
      <c r="C67" s="78" t="s">
        <v>31</v>
      </c>
      <c r="D67" s="75">
        <v>0</v>
      </c>
      <c r="E67" s="76">
        <v>-31</v>
      </c>
      <c r="F67" s="73">
        <v>6</v>
      </c>
      <c r="G67" s="74">
        <v>25</v>
      </c>
      <c r="H67" s="75">
        <v>0</v>
      </c>
      <c r="I67" s="76">
        <v>-13</v>
      </c>
      <c r="J67" s="73">
        <v>0</v>
      </c>
      <c r="K67" s="74">
        <v>-30</v>
      </c>
      <c r="L67" s="75">
        <v>0</v>
      </c>
      <c r="M67" s="76">
        <v>-25</v>
      </c>
      <c r="N67" s="27"/>
      <c r="O67" s="32"/>
      <c r="P67" s="16"/>
      <c r="Q67" s="12"/>
      <c r="R67" s="27"/>
      <c r="S67" s="28"/>
      <c r="T67" s="33"/>
      <c r="U67" s="34">
        <f t="shared" si="8"/>
        <v>-74</v>
      </c>
      <c r="W67" t="str">
        <f t="shared" si="7"/>
        <v/>
      </c>
      <c r="X67" t="str">
        <f>IF(IF(COUNT($D$6:$D$125)=0,C67&lt;&gt;"",AND(C67&lt;&gt;"",ISNUMBER(D67),ISNUMBER(T67))),IF(COUNT($D$6:$D$125)=0,COUNTIF($C$6:C67,"&lt;&gt;"),SUMPRODUCT(--($C$6:C67&lt;&gt;""),--ISNUMBER($D$6:D67),--ISNUMBER($T$6:T67))),"")</f>
        <v/>
      </c>
    </row>
    <row r="68" spans="1:24">
      <c r="A68" s="64" t="str">
        <f t="shared" si="4"/>
        <v/>
      </c>
      <c r="B68" s="11">
        <v>63</v>
      </c>
      <c r="C68" s="78" t="s">
        <v>70</v>
      </c>
      <c r="D68" s="75">
        <v>0</v>
      </c>
      <c r="E68" s="76">
        <v>-24</v>
      </c>
      <c r="F68" s="73">
        <v>6</v>
      </c>
      <c r="G68" s="74">
        <v>29</v>
      </c>
      <c r="H68" s="75">
        <v>0</v>
      </c>
      <c r="I68" s="76">
        <v>-27</v>
      </c>
      <c r="J68" s="73">
        <v>6</v>
      </c>
      <c r="K68" s="74">
        <v>24</v>
      </c>
      <c r="L68" s="16"/>
      <c r="M68" s="12"/>
      <c r="N68" s="27"/>
      <c r="O68" s="28"/>
      <c r="P68" s="16"/>
      <c r="Q68" s="12"/>
      <c r="R68" s="27"/>
      <c r="S68" s="28"/>
      <c r="T68" s="33"/>
      <c r="U68" s="34">
        <f t="shared" si="8"/>
        <v>2</v>
      </c>
      <c r="W68" t="str">
        <f t="shared" si="7"/>
        <v/>
      </c>
      <c r="X68" t="str">
        <f>IF(IF(COUNT($D$6:$D$125)=0,C68&lt;&gt;"",AND(C68&lt;&gt;"",ISNUMBER(D68),ISNUMBER(T68))),IF(COUNT($D$6:$D$125)=0,COUNTIF($C$6:C68,"&lt;&gt;"),SUMPRODUCT(--($C$6:C68&lt;&gt;""),--ISNUMBER($D$6:D68),--ISNUMBER($T$6:T68))),"")</f>
        <v/>
      </c>
    </row>
    <row r="69" spans="1:24">
      <c r="A69" s="64" t="str">
        <f t="shared" si="4"/>
        <v/>
      </c>
      <c r="B69" s="11">
        <v>64</v>
      </c>
      <c r="C69" s="78" t="s">
        <v>56</v>
      </c>
      <c r="D69" s="75">
        <v>0</v>
      </c>
      <c r="E69" s="76">
        <v>-23</v>
      </c>
      <c r="F69" s="73">
        <v>4</v>
      </c>
      <c r="G69" s="74">
        <v>15</v>
      </c>
      <c r="H69" s="75">
        <v>2</v>
      </c>
      <c r="I69" s="76">
        <v>-4</v>
      </c>
      <c r="J69" s="73">
        <v>2</v>
      </c>
      <c r="K69" s="74">
        <v>-1</v>
      </c>
      <c r="L69" s="16"/>
      <c r="M69" s="12"/>
      <c r="N69" s="27"/>
      <c r="O69" s="28"/>
      <c r="P69" s="16"/>
      <c r="Q69" s="12"/>
      <c r="R69" s="27"/>
      <c r="S69" s="28"/>
      <c r="T69" s="33"/>
      <c r="U69" s="34">
        <f t="shared" si="8"/>
        <v>-13</v>
      </c>
      <c r="W69" t="str">
        <f t="shared" si="7"/>
        <v/>
      </c>
      <c r="X69" t="str">
        <f>IF(IF(COUNT($D$6:$D$125)=0,C69&lt;&gt;"",AND(C69&lt;&gt;"",ISNUMBER(D69),ISNUMBER(T69))),IF(COUNT($D$6:$D$125)=0,COUNTIF($C$6:C69,"&lt;&gt;"),SUMPRODUCT(--($C$6:C69&lt;&gt;""),--ISNUMBER($D$6:D69),--ISNUMBER($T$6:T69))),"")</f>
        <v/>
      </c>
    </row>
    <row r="70" spans="1:24">
      <c r="A70" s="63" t="str">
        <f t="shared" ref="A70:A101" si="9">IF(W70="","",IF(ROW()=6,W70,IF(W70&lt;&gt;W69,W70,"")))</f>
        <v/>
      </c>
      <c r="B70" s="11">
        <v>65</v>
      </c>
      <c r="C70" s="78" t="s">
        <v>51</v>
      </c>
      <c r="D70" s="75">
        <v>0</v>
      </c>
      <c r="E70" s="76">
        <v>-32</v>
      </c>
      <c r="F70" s="73">
        <v>2</v>
      </c>
      <c r="G70" s="74">
        <v>-13</v>
      </c>
      <c r="H70" s="75">
        <v>0</v>
      </c>
      <c r="I70" s="76">
        <v>-15</v>
      </c>
      <c r="J70" s="27"/>
      <c r="K70" s="28"/>
      <c r="L70" s="16"/>
      <c r="M70" s="12"/>
      <c r="N70" s="27"/>
      <c r="O70" s="28"/>
      <c r="P70" s="16"/>
      <c r="Q70" s="12"/>
      <c r="R70" s="27"/>
      <c r="S70" s="28"/>
      <c r="T70" s="33"/>
      <c r="U70" s="34">
        <f t="shared" si="8"/>
        <v>-60</v>
      </c>
      <c r="W70" t="str">
        <f t="shared" ref="W70:W101" si="10">IF(X70="","",IF(X70&lt;=4*(INT($V$2/4)-MOD($V$2,4)),ROUNDUP(X70/4,0),(INT($V$2/4)-MOD($V$2,4))+ROUNDUP((X70-4*(INT($V$2/4)-MOD($V$2,4)))/5,0)))</f>
        <v/>
      </c>
      <c r="X70" t="str">
        <f>IF(IF(COUNT($D$6:$D$125)=0,C70&lt;&gt;"",AND(C70&lt;&gt;"",ISNUMBER(D70),ISNUMBER(T70))),IF(COUNT($D$6:$D$125)=0,COUNTIF($C$6:C70,"&lt;&gt;"),SUMPRODUCT(--($C$6:C70&lt;&gt;""),--ISNUMBER($D$6:D70),--ISNUMBER($T$6:T70))),"")</f>
        <v/>
      </c>
    </row>
    <row r="71" spans="1:24" hidden="1">
      <c r="A71" s="63" t="str">
        <f t="shared" si="9"/>
        <v/>
      </c>
      <c r="B71" s="11">
        <v>66</v>
      </c>
      <c r="C71" s="51"/>
      <c r="D71" s="16"/>
      <c r="E71" s="12"/>
      <c r="F71" s="27"/>
      <c r="G71" s="28"/>
      <c r="H71" s="16"/>
      <c r="I71" s="12"/>
      <c r="J71" s="27"/>
      <c r="K71" s="28"/>
      <c r="L71" s="16"/>
      <c r="M71" s="12"/>
      <c r="N71" s="27"/>
      <c r="O71" s="28"/>
      <c r="P71" s="16"/>
      <c r="Q71" s="12"/>
      <c r="R71" s="27"/>
      <c r="S71" s="28"/>
      <c r="T71" s="33">
        <f t="shared" ref="T71:T80" si="11">D71+F71+H71+J71+L71+N71+P71+R71</f>
        <v>0</v>
      </c>
      <c r="U71" s="34">
        <f t="shared" ref="U71:U80" si="12">E71+G71+I71+K71+M71+O71+Q71+S71</f>
        <v>0</v>
      </c>
      <c r="W71" t="str">
        <f t="shared" si="10"/>
        <v/>
      </c>
      <c r="X71" t="str">
        <f>IF(IF(COUNT($D$6:$D$125)=0,C71&lt;&gt;"",AND(C71&lt;&gt;"",ISNUMBER(D71),ISNUMBER(T71))),IF(COUNT($D$6:$D$125)=0,COUNTIF($C$6:C71,"&lt;&gt;"),SUMPRODUCT(--($C$6:C71&lt;&gt;""),--ISNUMBER($D$6:D71),--ISNUMBER($T$6:T71))),"")</f>
        <v/>
      </c>
    </row>
    <row r="72" spans="1:24" hidden="1">
      <c r="A72" s="63" t="str">
        <f t="shared" si="9"/>
        <v/>
      </c>
      <c r="B72" s="11">
        <v>67</v>
      </c>
      <c r="C72" s="51"/>
      <c r="D72" s="16"/>
      <c r="E72" s="12"/>
      <c r="F72" s="27"/>
      <c r="G72" s="28"/>
      <c r="H72" s="16"/>
      <c r="I72" s="12"/>
      <c r="J72" s="27"/>
      <c r="K72" s="28"/>
      <c r="L72" s="16"/>
      <c r="M72" s="12"/>
      <c r="N72" s="27"/>
      <c r="O72" s="28"/>
      <c r="P72" s="16"/>
      <c r="Q72" s="12"/>
      <c r="R72" s="27"/>
      <c r="S72" s="28"/>
      <c r="T72" s="33">
        <f t="shared" si="11"/>
        <v>0</v>
      </c>
      <c r="U72" s="34">
        <f t="shared" si="12"/>
        <v>0</v>
      </c>
      <c r="W72" t="str">
        <f t="shared" si="10"/>
        <v/>
      </c>
      <c r="X72" t="str">
        <f>IF(IF(COUNT($D$6:$D$125)=0,C72&lt;&gt;"",AND(C72&lt;&gt;"",ISNUMBER(D72),ISNUMBER(T72))),IF(COUNT($D$6:$D$125)=0,COUNTIF($C$6:C72,"&lt;&gt;"),SUMPRODUCT(--($C$6:C72&lt;&gt;""),--ISNUMBER($D$6:D72),--ISNUMBER($T$6:T72))),"")</f>
        <v/>
      </c>
    </row>
    <row r="73" spans="1:24" hidden="1">
      <c r="A73" s="63" t="str">
        <f t="shared" si="9"/>
        <v/>
      </c>
      <c r="B73" s="11">
        <v>68</v>
      </c>
      <c r="C73" s="48"/>
      <c r="D73" s="16"/>
      <c r="E73" s="12"/>
      <c r="F73" s="27"/>
      <c r="G73" s="28"/>
      <c r="H73" s="16"/>
      <c r="I73" s="12"/>
      <c r="J73" s="27"/>
      <c r="K73" s="28"/>
      <c r="L73" s="16"/>
      <c r="M73" s="12"/>
      <c r="N73" s="27"/>
      <c r="O73" s="28"/>
      <c r="P73" s="16"/>
      <c r="Q73" s="12"/>
      <c r="R73" s="27"/>
      <c r="S73" s="28"/>
      <c r="T73" s="33">
        <f t="shared" si="11"/>
        <v>0</v>
      </c>
      <c r="U73" s="34">
        <f t="shared" si="12"/>
        <v>0</v>
      </c>
      <c r="W73" t="str">
        <f t="shared" si="10"/>
        <v/>
      </c>
      <c r="X73" t="str">
        <f>IF(IF(COUNT($D$6:$D$125)=0,C73&lt;&gt;"",AND(C73&lt;&gt;"",ISNUMBER(D73),ISNUMBER(T73))),IF(COUNT($D$6:$D$125)=0,COUNTIF($C$6:C73,"&lt;&gt;"),SUMPRODUCT(--($C$6:C73&lt;&gt;""),--ISNUMBER($D$6:D73),--ISNUMBER($T$6:T73))),"")</f>
        <v/>
      </c>
    </row>
    <row r="74" spans="1:24" hidden="1">
      <c r="A74" s="64" t="str">
        <f t="shared" si="9"/>
        <v/>
      </c>
      <c r="B74" s="11">
        <v>69</v>
      </c>
      <c r="C74" s="48"/>
      <c r="D74" s="16"/>
      <c r="E74" s="12"/>
      <c r="F74" s="27"/>
      <c r="G74" s="28"/>
      <c r="H74" s="16"/>
      <c r="I74" s="12"/>
      <c r="J74" s="27"/>
      <c r="K74" s="28"/>
      <c r="L74" s="16"/>
      <c r="M74" s="12"/>
      <c r="N74" s="27"/>
      <c r="O74" s="28"/>
      <c r="P74" s="16"/>
      <c r="Q74" s="12"/>
      <c r="R74" s="27"/>
      <c r="S74" s="28"/>
      <c r="T74" s="33">
        <f t="shared" si="11"/>
        <v>0</v>
      </c>
      <c r="U74" s="34">
        <f t="shared" si="12"/>
        <v>0</v>
      </c>
      <c r="W74" t="str">
        <f t="shared" si="10"/>
        <v/>
      </c>
      <c r="X74" t="str">
        <f>IF(IF(COUNT($D$6:$D$125)=0,C74&lt;&gt;"",AND(C74&lt;&gt;"",ISNUMBER(D74),ISNUMBER(T74))),IF(COUNT($D$6:$D$125)=0,COUNTIF($C$6:C74,"&lt;&gt;"),SUMPRODUCT(--($C$6:C74&lt;&gt;""),--ISNUMBER($D$6:D74),--ISNUMBER($T$6:T74))),"")</f>
        <v/>
      </c>
    </row>
    <row r="75" spans="1:24" hidden="1">
      <c r="A75" s="64" t="str">
        <f t="shared" si="9"/>
        <v/>
      </c>
      <c r="B75" s="11">
        <v>70</v>
      </c>
      <c r="C75" s="48"/>
      <c r="D75" s="16"/>
      <c r="E75" s="12"/>
      <c r="F75" s="27"/>
      <c r="G75" s="28"/>
      <c r="H75" s="16"/>
      <c r="I75" s="12"/>
      <c r="J75" s="27"/>
      <c r="K75" s="28"/>
      <c r="L75" s="16"/>
      <c r="M75" s="12"/>
      <c r="N75" s="27"/>
      <c r="O75" s="28"/>
      <c r="P75" s="16"/>
      <c r="Q75" s="12"/>
      <c r="R75" s="27"/>
      <c r="S75" s="28"/>
      <c r="T75" s="33">
        <f t="shared" si="11"/>
        <v>0</v>
      </c>
      <c r="U75" s="34">
        <f t="shared" si="12"/>
        <v>0</v>
      </c>
      <c r="W75" t="str">
        <f t="shared" si="10"/>
        <v/>
      </c>
      <c r="X75" t="str">
        <f>IF(IF(COUNT($D$6:$D$125)=0,C75&lt;&gt;"",AND(C75&lt;&gt;"",ISNUMBER(D75),ISNUMBER(T75))),IF(COUNT($D$6:$D$125)=0,COUNTIF($C$6:C75,"&lt;&gt;"),SUMPRODUCT(--($C$6:C75&lt;&gt;""),--ISNUMBER($D$6:D75),--ISNUMBER($T$6:T75))),"")</f>
        <v/>
      </c>
    </row>
    <row r="76" spans="1:24" hidden="1">
      <c r="A76" s="64" t="str">
        <f t="shared" si="9"/>
        <v/>
      </c>
      <c r="B76" s="11">
        <v>71</v>
      </c>
      <c r="C76" s="48"/>
      <c r="D76" s="16"/>
      <c r="E76" s="12"/>
      <c r="F76" s="27"/>
      <c r="G76" s="28"/>
      <c r="H76" s="16"/>
      <c r="I76" s="12"/>
      <c r="J76" s="27"/>
      <c r="K76" s="28"/>
      <c r="L76" s="16"/>
      <c r="M76" s="12"/>
      <c r="N76" s="27"/>
      <c r="O76" s="28"/>
      <c r="P76" s="16"/>
      <c r="Q76" s="12"/>
      <c r="R76" s="27"/>
      <c r="S76" s="28"/>
      <c r="T76" s="33">
        <f t="shared" si="11"/>
        <v>0</v>
      </c>
      <c r="U76" s="34">
        <f t="shared" si="12"/>
        <v>0</v>
      </c>
      <c r="W76" t="str">
        <f t="shared" si="10"/>
        <v/>
      </c>
      <c r="X76" t="str">
        <f>IF(IF(COUNT($D$6:$D$125)=0,C76&lt;&gt;"",AND(C76&lt;&gt;"",ISNUMBER(D76),ISNUMBER(T76))),IF(COUNT($D$6:$D$125)=0,COUNTIF($C$6:C76,"&lt;&gt;"),SUMPRODUCT(--($C$6:C76&lt;&gt;""),--ISNUMBER($D$6:D76),--ISNUMBER($T$6:T76))),"")</f>
        <v/>
      </c>
    </row>
    <row r="77" spans="1:24" hidden="1">
      <c r="A77" s="64" t="str">
        <f t="shared" si="9"/>
        <v/>
      </c>
      <c r="B77" s="11">
        <v>72</v>
      </c>
      <c r="C77" s="48"/>
      <c r="D77" s="16"/>
      <c r="E77" s="12"/>
      <c r="F77" s="27"/>
      <c r="G77" s="28"/>
      <c r="H77" s="16"/>
      <c r="I77" s="12"/>
      <c r="J77" s="27"/>
      <c r="K77" s="28"/>
      <c r="L77" s="16"/>
      <c r="M77" s="12"/>
      <c r="N77" s="27"/>
      <c r="O77" s="28"/>
      <c r="P77" s="16"/>
      <c r="Q77" s="12"/>
      <c r="R77" s="27"/>
      <c r="S77" s="28"/>
      <c r="T77" s="33">
        <f t="shared" si="11"/>
        <v>0</v>
      </c>
      <c r="U77" s="34">
        <f t="shared" si="12"/>
        <v>0</v>
      </c>
      <c r="W77" t="str">
        <f t="shared" si="10"/>
        <v/>
      </c>
      <c r="X77" t="str">
        <f>IF(IF(COUNT($D$6:$D$125)=0,C77&lt;&gt;"",AND(C77&lt;&gt;"",ISNUMBER(D77),ISNUMBER(T77))),IF(COUNT($D$6:$D$125)=0,COUNTIF($C$6:C77,"&lt;&gt;"),SUMPRODUCT(--($C$6:C77&lt;&gt;""),--ISNUMBER($D$6:D77),--ISNUMBER($T$6:T77))),"")</f>
        <v/>
      </c>
    </row>
    <row r="78" spans="1:24" hidden="1">
      <c r="A78" s="63" t="str">
        <f t="shared" si="9"/>
        <v/>
      </c>
      <c r="B78" s="11">
        <v>73</v>
      </c>
      <c r="C78" s="48"/>
      <c r="D78" s="16"/>
      <c r="E78" s="12"/>
      <c r="F78" s="27"/>
      <c r="G78" s="28"/>
      <c r="H78" s="16"/>
      <c r="I78" s="12"/>
      <c r="J78" s="27"/>
      <c r="K78" s="28"/>
      <c r="L78" s="16"/>
      <c r="M78" s="12"/>
      <c r="N78" s="27"/>
      <c r="O78" s="28"/>
      <c r="P78" s="16"/>
      <c r="Q78" s="12"/>
      <c r="R78" s="27"/>
      <c r="S78" s="28"/>
      <c r="T78" s="33">
        <f t="shared" si="11"/>
        <v>0</v>
      </c>
      <c r="U78" s="34">
        <f t="shared" si="12"/>
        <v>0</v>
      </c>
      <c r="W78" t="str">
        <f t="shared" si="10"/>
        <v/>
      </c>
      <c r="X78" t="str">
        <f>IF(IF(COUNT($D$6:$D$125)=0,C78&lt;&gt;"",AND(C78&lt;&gt;"",ISNUMBER(D78),ISNUMBER(T78))),IF(COUNT($D$6:$D$125)=0,COUNTIF($C$6:C78,"&lt;&gt;"),SUMPRODUCT(--($C$6:C78&lt;&gt;""),--ISNUMBER($D$6:D78),--ISNUMBER($T$6:T78))),"")</f>
        <v/>
      </c>
    </row>
    <row r="79" spans="1:24" hidden="1">
      <c r="A79" s="63" t="str">
        <f t="shared" si="9"/>
        <v/>
      </c>
      <c r="B79" s="11">
        <v>74</v>
      </c>
      <c r="C79" s="50"/>
      <c r="D79" s="16"/>
      <c r="E79" s="12"/>
      <c r="F79" s="27"/>
      <c r="G79" s="28"/>
      <c r="H79" s="16"/>
      <c r="I79" s="12"/>
      <c r="J79" s="27"/>
      <c r="K79" s="28"/>
      <c r="L79" s="16"/>
      <c r="M79" s="12"/>
      <c r="N79" s="27"/>
      <c r="O79" s="28"/>
      <c r="P79" s="16"/>
      <c r="Q79" s="12"/>
      <c r="R79" s="27"/>
      <c r="S79" s="28"/>
      <c r="T79" s="33">
        <f t="shared" si="11"/>
        <v>0</v>
      </c>
      <c r="U79" s="34">
        <f t="shared" si="12"/>
        <v>0</v>
      </c>
      <c r="W79" t="str">
        <f t="shared" si="10"/>
        <v/>
      </c>
      <c r="X79" t="str">
        <f>IF(IF(COUNT($D$6:$D$125)=0,C79&lt;&gt;"",AND(C79&lt;&gt;"",ISNUMBER(D79),ISNUMBER(T79))),IF(COUNT($D$6:$D$125)=0,COUNTIF($C$6:C79,"&lt;&gt;"),SUMPRODUCT(--($C$6:C79&lt;&gt;""),--ISNUMBER($D$6:D79),--ISNUMBER($T$6:T79))),"")</f>
        <v/>
      </c>
    </row>
    <row r="80" spans="1:24" hidden="1">
      <c r="A80" s="63" t="str">
        <f t="shared" si="9"/>
        <v/>
      </c>
      <c r="B80" s="11">
        <v>75</v>
      </c>
      <c r="C80" s="49"/>
      <c r="D80" s="16"/>
      <c r="E80" s="12"/>
      <c r="F80" s="27"/>
      <c r="G80" s="28"/>
      <c r="H80" s="16"/>
      <c r="I80" s="12"/>
      <c r="J80" s="27"/>
      <c r="K80" s="28"/>
      <c r="L80" s="16"/>
      <c r="M80" s="12"/>
      <c r="N80" s="27"/>
      <c r="O80" s="28"/>
      <c r="P80" s="16"/>
      <c r="Q80" s="12"/>
      <c r="R80" s="27"/>
      <c r="S80" s="28"/>
      <c r="T80" s="33">
        <f t="shared" si="11"/>
        <v>0</v>
      </c>
      <c r="U80" s="34">
        <f t="shared" si="12"/>
        <v>0</v>
      </c>
      <c r="W80" t="str">
        <f t="shared" si="10"/>
        <v/>
      </c>
      <c r="X80" t="str">
        <f>IF(IF(COUNT($D$6:$D$125)=0,C80&lt;&gt;"",AND(C80&lt;&gt;"",ISNUMBER(D80),ISNUMBER(T80))),IF(COUNT($D$6:$D$125)=0,COUNTIF($C$6:C80,"&lt;&gt;"),SUMPRODUCT(--($C$6:C80&lt;&gt;""),--ISNUMBER($D$6:D80),--ISNUMBER($T$6:T80))),"")</f>
        <v/>
      </c>
    </row>
    <row r="81" spans="1:24" hidden="1">
      <c r="A81" s="63" t="str">
        <f t="shared" si="9"/>
        <v/>
      </c>
      <c r="B81" s="11">
        <v>76</v>
      </c>
      <c r="C81" s="22"/>
      <c r="D81" s="16"/>
      <c r="E81" s="12"/>
      <c r="F81" s="27"/>
      <c r="G81" s="28"/>
      <c r="H81" s="16"/>
      <c r="I81" s="12"/>
      <c r="J81" s="27"/>
      <c r="K81" s="28"/>
      <c r="L81" s="16"/>
      <c r="M81" s="12"/>
      <c r="N81" s="27"/>
      <c r="O81" s="28"/>
      <c r="P81" s="16"/>
      <c r="Q81" s="12"/>
      <c r="R81" s="27"/>
      <c r="S81" s="28"/>
      <c r="T81" s="33">
        <f t="shared" ref="T81:T84" si="13">D81+F81+H81+J81+L81+N81+P81+R81</f>
        <v>0</v>
      </c>
      <c r="U81" s="34">
        <f t="shared" ref="U81:U84" si="14">E81+G81+I81+K81+M81+O81+Q81+S81</f>
        <v>0</v>
      </c>
      <c r="W81" t="str">
        <f t="shared" si="10"/>
        <v/>
      </c>
      <c r="X81" t="str">
        <f>IF(IF(COUNT($D$6:$D$125)=0,C81&lt;&gt;"",AND(C81&lt;&gt;"",ISNUMBER(D81),ISNUMBER(T81))),IF(COUNT($D$6:$D$125)=0,COUNTIF($C$6:C81,"&lt;&gt;"),SUMPRODUCT(--($C$6:C81&lt;&gt;""),--ISNUMBER($D$6:D81),--ISNUMBER($T$6:T81))),"")</f>
        <v/>
      </c>
    </row>
    <row r="82" spans="1:24" hidden="1">
      <c r="A82" s="64" t="str">
        <f t="shared" si="9"/>
        <v/>
      </c>
      <c r="B82" s="11">
        <v>77</v>
      </c>
      <c r="C82" s="22"/>
      <c r="D82" s="16"/>
      <c r="E82" s="12"/>
      <c r="F82" s="27"/>
      <c r="G82" s="28"/>
      <c r="H82" s="16"/>
      <c r="I82" s="12"/>
      <c r="J82" s="27"/>
      <c r="K82" s="28"/>
      <c r="L82" s="16"/>
      <c r="M82" s="12"/>
      <c r="N82" s="27"/>
      <c r="O82" s="28"/>
      <c r="P82" s="16"/>
      <c r="Q82" s="12"/>
      <c r="R82" s="27"/>
      <c r="S82" s="28"/>
      <c r="T82" s="33">
        <f t="shared" si="13"/>
        <v>0</v>
      </c>
      <c r="U82" s="34">
        <f t="shared" si="14"/>
        <v>0</v>
      </c>
      <c r="W82" t="str">
        <f t="shared" si="10"/>
        <v/>
      </c>
      <c r="X82" t="str">
        <f>IF(IF(COUNT($D$6:$D$125)=0,C82&lt;&gt;"",AND(C82&lt;&gt;"",ISNUMBER(D82),ISNUMBER(T82))),IF(COUNT($D$6:$D$125)=0,COUNTIF($C$6:C82,"&lt;&gt;"),SUMPRODUCT(--($C$6:C82&lt;&gt;""),--ISNUMBER($D$6:D82),--ISNUMBER($T$6:T82))),"")</f>
        <v/>
      </c>
    </row>
    <row r="83" spans="1:24" hidden="1">
      <c r="A83" s="64" t="str">
        <f t="shared" si="9"/>
        <v/>
      </c>
      <c r="B83" s="11">
        <v>78</v>
      </c>
      <c r="C83" s="22"/>
      <c r="D83" s="16"/>
      <c r="E83" s="12"/>
      <c r="F83" s="27"/>
      <c r="G83" s="28"/>
      <c r="H83" s="16"/>
      <c r="I83" s="12"/>
      <c r="J83" s="27"/>
      <c r="K83" s="28"/>
      <c r="L83" s="16"/>
      <c r="M83" s="12"/>
      <c r="N83" s="27"/>
      <c r="O83" s="28"/>
      <c r="P83" s="16"/>
      <c r="Q83" s="12"/>
      <c r="R83" s="27"/>
      <c r="S83" s="28"/>
      <c r="T83" s="33">
        <f t="shared" si="13"/>
        <v>0</v>
      </c>
      <c r="U83" s="34">
        <f t="shared" si="14"/>
        <v>0</v>
      </c>
      <c r="W83" t="str">
        <f t="shared" si="10"/>
        <v/>
      </c>
      <c r="X83" t="str">
        <f>IF(IF(COUNT($D$6:$D$125)=0,C83&lt;&gt;"",AND(C83&lt;&gt;"",ISNUMBER(D83),ISNUMBER(T83))),IF(COUNT($D$6:$D$125)=0,COUNTIF($C$6:C83,"&lt;&gt;"),SUMPRODUCT(--($C$6:C83&lt;&gt;""),--ISNUMBER($D$6:D83),--ISNUMBER($T$6:T83))),"")</f>
        <v/>
      </c>
    </row>
    <row r="84" spans="1:24" hidden="1">
      <c r="A84" s="64" t="str">
        <f t="shared" si="9"/>
        <v/>
      </c>
      <c r="B84" s="11">
        <v>79</v>
      </c>
      <c r="C84" s="22"/>
      <c r="D84" s="16"/>
      <c r="E84" s="12"/>
      <c r="F84" s="27"/>
      <c r="G84" s="28"/>
      <c r="H84" s="16"/>
      <c r="I84" s="12"/>
      <c r="J84" s="27"/>
      <c r="K84" s="28"/>
      <c r="L84" s="16"/>
      <c r="M84" s="12"/>
      <c r="N84" s="27"/>
      <c r="O84" s="28"/>
      <c r="P84" s="16"/>
      <c r="Q84" s="12"/>
      <c r="R84" s="27"/>
      <c r="S84" s="28"/>
      <c r="T84" s="33">
        <f t="shared" si="13"/>
        <v>0</v>
      </c>
      <c r="U84" s="34">
        <f t="shared" si="14"/>
        <v>0</v>
      </c>
      <c r="W84" t="str">
        <f t="shared" si="10"/>
        <v/>
      </c>
      <c r="X84" t="str">
        <f>IF(IF(COUNT($D$6:$D$125)=0,C84&lt;&gt;"",AND(C84&lt;&gt;"",ISNUMBER(D84),ISNUMBER(T84))),IF(COUNT($D$6:$D$125)=0,COUNTIF($C$6:C84,"&lt;&gt;"),SUMPRODUCT(--($C$6:C84&lt;&gt;""),--ISNUMBER($D$6:D84),--ISNUMBER($T$6:T84))),"")</f>
        <v/>
      </c>
    </row>
    <row r="85" spans="1:24" hidden="1">
      <c r="A85" s="64" t="str">
        <f t="shared" si="9"/>
        <v/>
      </c>
      <c r="B85" s="11">
        <v>80</v>
      </c>
      <c r="C85" s="22"/>
      <c r="D85" s="16"/>
      <c r="E85" s="12"/>
      <c r="F85" s="27"/>
      <c r="G85" s="28"/>
      <c r="H85" s="16"/>
      <c r="I85" s="12"/>
      <c r="J85" s="27"/>
      <c r="K85" s="28"/>
      <c r="L85" s="16"/>
      <c r="M85" s="12"/>
      <c r="N85" s="27"/>
      <c r="O85" s="28"/>
      <c r="P85" s="16"/>
      <c r="Q85" s="12"/>
      <c r="R85" s="27"/>
      <c r="S85" s="28"/>
      <c r="T85" s="33">
        <f t="shared" ref="T85:T88" si="15">D85+F85+H85+J85+L85+N85+P85+R85</f>
        <v>0</v>
      </c>
      <c r="U85" s="34">
        <f t="shared" ref="U85:U88" si="16">E85+G85+I85+K85+M85+O85+Q85+S85</f>
        <v>0</v>
      </c>
      <c r="W85" t="str">
        <f t="shared" si="10"/>
        <v/>
      </c>
      <c r="X85" t="str">
        <f>IF(IF(COUNT($D$6:$D$125)=0,C85&lt;&gt;"",AND(C85&lt;&gt;"",ISNUMBER(D85),ISNUMBER(T85))),IF(COUNT($D$6:$D$125)=0,COUNTIF($C$6:C85,"&lt;&gt;"),SUMPRODUCT(--($C$6:C85&lt;&gt;""),--ISNUMBER($D$6:D85),--ISNUMBER($T$6:T85))),"")</f>
        <v/>
      </c>
    </row>
    <row r="86" spans="1:24" hidden="1">
      <c r="A86" s="63" t="str">
        <f t="shared" si="9"/>
        <v/>
      </c>
      <c r="B86" s="11">
        <v>81</v>
      </c>
      <c r="C86" s="22"/>
      <c r="D86" s="16"/>
      <c r="E86" s="12"/>
      <c r="F86" s="27"/>
      <c r="G86" s="28"/>
      <c r="H86" s="16"/>
      <c r="I86" s="12"/>
      <c r="J86" s="27"/>
      <c r="K86" s="28"/>
      <c r="L86" s="16"/>
      <c r="M86" s="12"/>
      <c r="N86" s="27"/>
      <c r="O86" s="28"/>
      <c r="P86" s="16"/>
      <c r="Q86" s="12"/>
      <c r="R86" s="27"/>
      <c r="S86" s="28"/>
      <c r="T86" s="33">
        <f t="shared" si="15"/>
        <v>0</v>
      </c>
      <c r="U86" s="34">
        <f t="shared" si="16"/>
        <v>0</v>
      </c>
      <c r="W86" t="str">
        <f t="shared" si="10"/>
        <v/>
      </c>
      <c r="X86" t="str">
        <f>IF(IF(COUNT($D$6:$D$125)=0,C86&lt;&gt;"",AND(C86&lt;&gt;"",ISNUMBER(D86),ISNUMBER(T86))),IF(COUNT($D$6:$D$125)=0,COUNTIF($C$6:C86,"&lt;&gt;"),SUMPRODUCT(--($C$6:C86&lt;&gt;""),--ISNUMBER($D$6:D86),--ISNUMBER($T$6:T86))),"")</f>
        <v/>
      </c>
    </row>
    <row r="87" spans="1:24" hidden="1">
      <c r="A87" s="63" t="str">
        <f t="shared" si="9"/>
        <v/>
      </c>
      <c r="B87" s="11">
        <v>82</v>
      </c>
      <c r="C87" s="22"/>
      <c r="D87" s="16"/>
      <c r="E87" s="12"/>
      <c r="F87" s="27"/>
      <c r="G87" s="28"/>
      <c r="H87" s="16"/>
      <c r="I87" s="12"/>
      <c r="J87" s="27"/>
      <c r="K87" s="28"/>
      <c r="L87" s="16"/>
      <c r="M87" s="12"/>
      <c r="N87" s="27"/>
      <c r="O87" s="28"/>
      <c r="P87" s="16"/>
      <c r="Q87" s="12"/>
      <c r="R87" s="27"/>
      <c r="S87" s="28"/>
      <c r="T87" s="33">
        <f t="shared" si="15"/>
        <v>0</v>
      </c>
      <c r="U87" s="34">
        <f t="shared" si="16"/>
        <v>0</v>
      </c>
      <c r="W87" t="str">
        <f t="shared" si="10"/>
        <v/>
      </c>
      <c r="X87" t="str">
        <f>IF(IF(COUNT($D$6:$D$125)=0,C87&lt;&gt;"",AND(C87&lt;&gt;"",ISNUMBER(D87),ISNUMBER(T87))),IF(COUNT($D$6:$D$125)=0,COUNTIF($C$6:C87,"&lt;&gt;"),SUMPRODUCT(--($C$6:C87&lt;&gt;""),--ISNUMBER($D$6:D87),--ISNUMBER($T$6:T87))),"")</f>
        <v/>
      </c>
    </row>
    <row r="88" spans="1:24" hidden="1">
      <c r="A88" s="63" t="str">
        <f t="shared" si="9"/>
        <v/>
      </c>
      <c r="B88" s="11">
        <v>83</v>
      </c>
      <c r="C88" s="22"/>
      <c r="D88" s="16"/>
      <c r="E88" s="12"/>
      <c r="F88" s="27"/>
      <c r="G88" s="28"/>
      <c r="H88" s="16"/>
      <c r="I88" s="12"/>
      <c r="J88" s="27"/>
      <c r="K88" s="28"/>
      <c r="L88" s="16"/>
      <c r="M88" s="12"/>
      <c r="N88" s="27"/>
      <c r="O88" s="28"/>
      <c r="P88" s="16"/>
      <c r="Q88" s="12"/>
      <c r="R88" s="27"/>
      <c r="S88" s="28"/>
      <c r="T88" s="33">
        <f t="shared" si="15"/>
        <v>0</v>
      </c>
      <c r="U88" s="34">
        <f t="shared" si="16"/>
        <v>0</v>
      </c>
      <c r="W88" t="str">
        <f t="shared" si="10"/>
        <v/>
      </c>
      <c r="X88" t="str">
        <f>IF(IF(COUNT($D$6:$D$125)=0,C88&lt;&gt;"",AND(C88&lt;&gt;"",ISNUMBER(D88),ISNUMBER(T88))),IF(COUNT($D$6:$D$125)=0,COUNTIF($C$6:C88,"&lt;&gt;"),SUMPRODUCT(--($C$6:C88&lt;&gt;""),--ISNUMBER($D$6:D88),--ISNUMBER($T$6:T88))),"")</f>
        <v/>
      </c>
    </row>
    <row r="89" spans="1:24" hidden="1">
      <c r="A89" s="63" t="str">
        <f t="shared" si="9"/>
        <v/>
      </c>
      <c r="B89" s="11">
        <v>84</v>
      </c>
      <c r="C89" s="22"/>
      <c r="D89" s="16"/>
      <c r="E89" s="12"/>
      <c r="F89" s="27"/>
      <c r="G89" s="28"/>
      <c r="H89" s="16"/>
      <c r="I89" s="12"/>
      <c r="J89" s="27"/>
      <c r="K89" s="28"/>
      <c r="L89" s="16"/>
      <c r="M89" s="12"/>
      <c r="N89" s="27"/>
      <c r="O89" s="28"/>
      <c r="P89" s="16"/>
      <c r="Q89" s="12"/>
      <c r="R89" s="27"/>
      <c r="S89" s="28"/>
      <c r="T89" s="33">
        <f t="shared" ref="T89:T93" si="17">D89+F89+H89+J89+L89+N89+P89+R89</f>
        <v>0</v>
      </c>
      <c r="U89" s="34">
        <f t="shared" ref="U89:U93" si="18">E89+G89+I89+K89+M89+O89+Q89+S89</f>
        <v>0</v>
      </c>
      <c r="W89" t="str">
        <f t="shared" si="10"/>
        <v/>
      </c>
      <c r="X89" t="str">
        <f>IF(IF(COUNT($D$6:$D$125)=0,C89&lt;&gt;"",AND(C89&lt;&gt;"",ISNUMBER(D89),ISNUMBER(T89))),IF(COUNT($D$6:$D$125)=0,COUNTIF($C$6:C89,"&lt;&gt;"),SUMPRODUCT(--($C$6:C89&lt;&gt;""),--ISNUMBER($D$6:D89),--ISNUMBER($T$6:T89))),"")</f>
        <v/>
      </c>
    </row>
    <row r="90" spans="1:24" hidden="1">
      <c r="A90" s="64" t="str">
        <f t="shared" si="9"/>
        <v/>
      </c>
      <c r="B90" s="11">
        <v>85</v>
      </c>
      <c r="C90" s="22"/>
      <c r="D90" s="16"/>
      <c r="E90" s="12"/>
      <c r="F90" s="27"/>
      <c r="G90" s="28"/>
      <c r="H90" s="16"/>
      <c r="I90" s="12"/>
      <c r="J90" s="27"/>
      <c r="K90" s="28"/>
      <c r="L90" s="16"/>
      <c r="M90" s="12"/>
      <c r="N90" s="27"/>
      <c r="O90" s="28"/>
      <c r="P90" s="16"/>
      <c r="Q90" s="12"/>
      <c r="R90" s="27"/>
      <c r="S90" s="28"/>
      <c r="T90" s="33">
        <f t="shared" si="17"/>
        <v>0</v>
      </c>
      <c r="U90" s="34">
        <f t="shared" si="18"/>
        <v>0</v>
      </c>
      <c r="W90" t="str">
        <f t="shared" si="10"/>
        <v/>
      </c>
      <c r="X90" t="str">
        <f>IF(IF(COUNT($D$6:$D$125)=0,C90&lt;&gt;"",AND(C90&lt;&gt;"",ISNUMBER(D90),ISNUMBER(T90))),IF(COUNT($D$6:$D$125)=0,COUNTIF($C$6:C90,"&lt;&gt;"),SUMPRODUCT(--($C$6:C90&lt;&gt;""),--ISNUMBER($D$6:D90),--ISNUMBER($T$6:T90))),"")</f>
        <v/>
      </c>
    </row>
    <row r="91" spans="1:24" hidden="1">
      <c r="A91" s="64" t="str">
        <f t="shared" si="9"/>
        <v/>
      </c>
      <c r="B91" s="11">
        <v>86</v>
      </c>
      <c r="C91" s="22"/>
      <c r="D91" s="16"/>
      <c r="E91" s="12"/>
      <c r="F91" s="27"/>
      <c r="G91" s="28"/>
      <c r="H91" s="16"/>
      <c r="I91" s="12"/>
      <c r="J91" s="27"/>
      <c r="K91" s="28"/>
      <c r="L91" s="16"/>
      <c r="M91" s="12"/>
      <c r="N91" s="27"/>
      <c r="O91" s="28"/>
      <c r="P91" s="16"/>
      <c r="Q91" s="12"/>
      <c r="R91" s="27"/>
      <c r="S91" s="28"/>
      <c r="T91" s="33">
        <f t="shared" si="17"/>
        <v>0</v>
      </c>
      <c r="U91" s="34">
        <f t="shared" si="18"/>
        <v>0</v>
      </c>
      <c r="W91" t="str">
        <f t="shared" si="10"/>
        <v/>
      </c>
      <c r="X91" t="str">
        <f>IF(IF(COUNT($D$6:$D$125)=0,C91&lt;&gt;"",AND(C91&lt;&gt;"",ISNUMBER(D91),ISNUMBER(T91))),IF(COUNT($D$6:$D$125)=0,COUNTIF($C$6:C91,"&lt;&gt;"),SUMPRODUCT(--($C$6:C91&lt;&gt;""),--ISNUMBER($D$6:D91),--ISNUMBER($T$6:T91))),"")</f>
        <v/>
      </c>
    </row>
    <row r="92" spans="1:24" hidden="1">
      <c r="A92" s="64" t="str">
        <f t="shared" si="9"/>
        <v/>
      </c>
      <c r="B92" s="11">
        <v>87</v>
      </c>
      <c r="C92" s="22"/>
      <c r="D92" s="16"/>
      <c r="E92" s="12"/>
      <c r="F92" s="27"/>
      <c r="G92" s="28"/>
      <c r="H92" s="16"/>
      <c r="I92" s="12"/>
      <c r="J92" s="27"/>
      <c r="K92" s="28"/>
      <c r="L92" s="16"/>
      <c r="M92" s="12"/>
      <c r="N92" s="27"/>
      <c r="O92" s="28"/>
      <c r="P92" s="16"/>
      <c r="Q92" s="12"/>
      <c r="R92" s="27"/>
      <c r="S92" s="28"/>
      <c r="T92" s="33">
        <f t="shared" si="17"/>
        <v>0</v>
      </c>
      <c r="U92" s="34">
        <f t="shared" si="18"/>
        <v>0</v>
      </c>
      <c r="W92" t="str">
        <f t="shared" si="10"/>
        <v/>
      </c>
      <c r="X92" t="str">
        <f>IF(IF(COUNT($D$6:$D$125)=0,C92&lt;&gt;"",AND(C92&lt;&gt;"",ISNUMBER(D92),ISNUMBER(T92))),IF(COUNT($D$6:$D$125)=0,COUNTIF($C$6:C92,"&lt;&gt;"),SUMPRODUCT(--($C$6:C92&lt;&gt;""),--ISNUMBER($D$6:D92),--ISNUMBER($T$6:T92))),"")</f>
        <v/>
      </c>
    </row>
    <row r="93" spans="1:24" hidden="1">
      <c r="A93" s="64" t="str">
        <f t="shared" si="9"/>
        <v/>
      </c>
      <c r="B93" s="11">
        <v>88</v>
      </c>
      <c r="C93" s="22"/>
      <c r="D93" s="16"/>
      <c r="E93" s="23"/>
      <c r="F93" s="27"/>
      <c r="G93" s="35"/>
      <c r="H93" s="27"/>
      <c r="I93" s="28"/>
      <c r="J93" s="27"/>
      <c r="K93" s="28"/>
      <c r="L93" s="14"/>
      <c r="M93" s="28"/>
      <c r="N93" s="36"/>
      <c r="O93" s="35"/>
      <c r="P93" s="14"/>
      <c r="Q93" s="28"/>
      <c r="R93" s="36"/>
      <c r="S93" s="35"/>
      <c r="T93" s="37">
        <f t="shared" si="17"/>
        <v>0</v>
      </c>
      <c r="U93" s="38">
        <f t="shared" si="18"/>
        <v>0</v>
      </c>
      <c r="W93" t="str">
        <f t="shared" si="10"/>
        <v/>
      </c>
      <c r="X93" t="str">
        <f>IF(IF(COUNT($D$6:$D$125)=0,C93&lt;&gt;"",AND(C93&lt;&gt;"",ISNUMBER(D93),ISNUMBER(T93))),IF(COUNT($D$6:$D$125)=0,COUNTIF($C$6:C93,"&lt;&gt;"),SUMPRODUCT(--($C$6:C93&lt;&gt;""),--ISNUMBER($D$6:D93),--ISNUMBER($T$6:T93))),"")</f>
        <v/>
      </c>
    </row>
    <row r="94" spans="1:24" hidden="1">
      <c r="A94" s="63" t="str">
        <f t="shared" si="9"/>
        <v/>
      </c>
      <c r="B94" s="11">
        <v>89</v>
      </c>
      <c r="C94" s="22"/>
      <c r="D94" s="16"/>
      <c r="E94" s="23"/>
      <c r="F94" s="27"/>
      <c r="G94" s="35"/>
      <c r="H94" s="27"/>
      <c r="I94" s="28"/>
      <c r="J94" s="27"/>
      <c r="K94" s="28"/>
      <c r="L94" s="14"/>
      <c r="M94" s="28"/>
      <c r="N94" s="36"/>
      <c r="O94" s="35"/>
      <c r="P94" s="14"/>
      <c r="Q94" s="28"/>
      <c r="R94" s="36"/>
      <c r="S94" s="35"/>
      <c r="T94" s="37">
        <f t="shared" ref="T94:T125" si="19">D94+F94+H94+J94+L94+N94+P94+R94</f>
        <v>0</v>
      </c>
      <c r="U94" s="38">
        <f t="shared" ref="U94:U125" si="20">E94+G94+I94+K94+M94+O94+Q94+S94</f>
        <v>0</v>
      </c>
      <c r="W94" t="str">
        <f t="shared" si="10"/>
        <v/>
      </c>
      <c r="X94" t="str">
        <f>IF(IF(COUNT($D$6:$D$125)=0,C94&lt;&gt;"",AND(C94&lt;&gt;"",ISNUMBER(D94),ISNUMBER(T94))),IF(COUNT($D$6:$D$125)=0,COUNTIF($C$6:C94,"&lt;&gt;"),SUMPRODUCT(--($C$6:C94&lt;&gt;""),--ISNUMBER($D$6:D94),--ISNUMBER($T$6:T94))),"")</f>
        <v/>
      </c>
    </row>
    <row r="95" spans="1:24" hidden="1">
      <c r="A95" s="63" t="str">
        <f t="shared" si="9"/>
        <v/>
      </c>
      <c r="B95" s="11">
        <v>90</v>
      </c>
      <c r="C95" s="22"/>
      <c r="D95" s="16"/>
      <c r="E95" s="23"/>
      <c r="F95" s="27"/>
      <c r="G95" s="35"/>
      <c r="H95" s="27"/>
      <c r="I95" s="28"/>
      <c r="J95" s="27"/>
      <c r="K95" s="28"/>
      <c r="L95" s="14"/>
      <c r="M95" s="28"/>
      <c r="N95" s="36"/>
      <c r="O95" s="35"/>
      <c r="P95" s="14"/>
      <c r="Q95" s="28"/>
      <c r="R95" s="36"/>
      <c r="S95" s="35"/>
      <c r="T95" s="37">
        <f t="shared" si="19"/>
        <v>0</v>
      </c>
      <c r="U95" s="38">
        <f t="shared" si="20"/>
        <v>0</v>
      </c>
      <c r="W95" t="str">
        <f t="shared" si="10"/>
        <v/>
      </c>
      <c r="X95" t="str">
        <f>IF(IF(COUNT($D$6:$D$125)=0,C95&lt;&gt;"",AND(C95&lt;&gt;"",ISNUMBER(D95),ISNUMBER(T95))),IF(COUNT($D$6:$D$125)=0,COUNTIF($C$6:C95,"&lt;&gt;"),SUMPRODUCT(--($C$6:C95&lt;&gt;""),--ISNUMBER($D$6:D95),--ISNUMBER($T$6:T95))),"")</f>
        <v/>
      </c>
    </row>
    <row r="96" spans="1:24" hidden="1">
      <c r="A96" s="63" t="str">
        <f t="shared" si="9"/>
        <v/>
      </c>
      <c r="B96" s="11">
        <v>91</v>
      </c>
      <c r="C96" s="22"/>
      <c r="D96" s="16"/>
      <c r="E96" s="23"/>
      <c r="F96" s="27"/>
      <c r="G96" s="35"/>
      <c r="H96" s="27"/>
      <c r="I96" s="28"/>
      <c r="J96" s="27"/>
      <c r="K96" s="28"/>
      <c r="L96" s="14"/>
      <c r="M96" s="28"/>
      <c r="N96" s="36"/>
      <c r="O96" s="35"/>
      <c r="P96" s="14"/>
      <c r="Q96" s="28"/>
      <c r="R96" s="36"/>
      <c r="S96" s="35"/>
      <c r="T96" s="37">
        <f t="shared" si="19"/>
        <v>0</v>
      </c>
      <c r="U96" s="38">
        <f t="shared" si="20"/>
        <v>0</v>
      </c>
      <c r="W96" t="str">
        <f t="shared" si="10"/>
        <v/>
      </c>
      <c r="X96" t="str">
        <f>IF(IF(COUNT($D$6:$D$125)=0,C96&lt;&gt;"",AND(C96&lt;&gt;"",ISNUMBER(D96),ISNUMBER(T96))),IF(COUNT($D$6:$D$125)=0,COUNTIF($C$6:C96,"&lt;&gt;"),SUMPRODUCT(--($C$6:C96&lt;&gt;""),--ISNUMBER($D$6:D96),--ISNUMBER($T$6:T96))),"")</f>
        <v/>
      </c>
    </row>
    <row r="97" spans="1:24" hidden="1">
      <c r="A97" s="63" t="str">
        <f t="shared" si="9"/>
        <v/>
      </c>
      <c r="B97" s="11">
        <v>92</v>
      </c>
      <c r="C97" s="22"/>
      <c r="D97" s="16"/>
      <c r="E97" s="23"/>
      <c r="F97" s="27"/>
      <c r="G97" s="35"/>
      <c r="H97" s="27"/>
      <c r="I97" s="28"/>
      <c r="J97" s="27"/>
      <c r="K97" s="28"/>
      <c r="L97" s="14"/>
      <c r="M97" s="28"/>
      <c r="N97" s="36"/>
      <c r="O97" s="35"/>
      <c r="P97" s="14"/>
      <c r="Q97" s="28"/>
      <c r="R97" s="36"/>
      <c r="S97" s="35"/>
      <c r="T97" s="37">
        <f t="shared" si="19"/>
        <v>0</v>
      </c>
      <c r="U97" s="38">
        <f t="shared" si="20"/>
        <v>0</v>
      </c>
      <c r="W97" t="str">
        <f t="shared" si="10"/>
        <v/>
      </c>
      <c r="X97" t="str">
        <f>IF(IF(COUNT($D$6:$D$125)=0,C97&lt;&gt;"",AND(C97&lt;&gt;"",ISNUMBER(D97),ISNUMBER(T97))),IF(COUNT($D$6:$D$125)=0,COUNTIF($C$6:C97,"&lt;&gt;"),SUMPRODUCT(--($C$6:C97&lt;&gt;""),--ISNUMBER($D$6:D97),--ISNUMBER($T$6:T97))),"")</f>
        <v/>
      </c>
    </row>
    <row r="98" spans="1:24" hidden="1">
      <c r="A98" s="64" t="str">
        <f t="shared" si="9"/>
        <v/>
      </c>
      <c r="B98" s="11">
        <v>93</v>
      </c>
      <c r="C98" s="22"/>
      <c r="D98" s="16"/>
      <c r="E98" s="23"/>
      <c r="F98" s="27"/>
      <c r="G98" s="35"/>
      <c r="H98" s="27"/>
      <c r="I98" s="28"/>
      <c r="J98" s="27"/>
      <c r="K98" s="28"/>
      <c r="L98" s="14"/>
      <c r="M98" s="28"/>
      <c r="N98" s="36"/>
      <c r="O98" s="35"/>
      <c r="P98" s="14"/>
      <c r="Q98" s="28"/>
      <c r="R98" s="36"/>
      <c r="S98" s="35"/>
      <c r="T98" s="37">
        <f t="shared" si="19"/>
        <v>0</v>
      </c>
      <c r="U98" s="38">
        <f t="shared" si="20"/>
        <v>0</v>
      </c>
      <c r="W98" t="str">
        <f t="shared" si="10"/>
        <v/>
      </c>
      <c r="X98" t="str">
        <f>IF(IF(COUNT($D$6:$D$125)=0,C98&lt;&gt;"",AND(C98&lt;&gt;"",ISNUMBER(D98),ISNUMBER(T98))),IF(COUNT($D$6:$D$125)=0,COUNTIF($C$6:C98,"&lt;&gt;"),SUMPRODUCT(--($C$6:C98&lt;&gt;""),--ISNUMBER($D$6:D98),--ISNUMBER($T$6:T98))),"")</f>
        <v/>
      </c>
    </row>
    <row r="99" spans="1:24" hidden="1">
      <c r="A99" s="64" t="str">
        <f t="shared" si="9"/>
        <v/>
      </c>
      <c r="B99" s="11">
        <v>94</v>
      </c>
      <c r="C99" s="22"/>
      <c r="D99" s="16"/>
      <c r="E99" s="23"/>
      <c r="F99" s="27"/>
      <c r="G99" s="35"/>
      <c r="H99" s="27"/>
      <c r="I99" s="28"/>
      <c r="J99" s="27"/>
      <c r="K99" s="28"/>
      <c r="L99" s="14"/>
      <c r="M99" s="28"/>
      <c r="N99" s="36"/>
      <c r="O99" s="35"/>
      <c r="P99" s="14"/>
      <c r="Q99" s="28"/>
      <c r="R99" s="36"/>
      <c r="S99" s="35"/>
      <c r="T99" s="37">
        <f t="shared" si="19"/>
        <v>0</v>
      </c>
      <c r="U99" s="38">
        <f t="shared" si="20"/>
        <v>0</v>
      </c>
      <c r="W99" t="str">
        <f t="shared" si="10"/>
        <v/>
      </c>
      <c r="X99" t="str">
        <f>IF(IF(COUNT($D$6:$D$125)=0,C99&lt;&gt;"",AND(C99&lt;&gt;"",ISNUMBER(D99),ISNUMBER(T99))),IF(COUNT($D$6:$D$125)=0,COUNTIF($C$6:C99,"&lt;&gt;"),SUMPRODUCT(--($C$6:C99&lt;&gt;""),--ISNUMBER($D$6:D99),--ISNUMBER($T$6:T99))),"")</f>
        <v/>
      </c>
    </row>
    <row r="100" spans="1:24" hidden="1">
      <c r="A100" s="64" t="str">
        <f t="shared" si="9"/>
        <v/>
      </c>
      <c r="B100" s="11">
        <v>95</v>
      </c>
      <c r="C100" s="22"/>
      <c r="D100" s="16"/>
      <c r="E100" s="23"/>
      <c r="F100" s="27"/>
      <c r="G100" s="35"/>
      <c r="H100" s="27"/>
      <c r="I100" s="28"/>
      <c r="J100" s="27"/>
      <c r="K100" s="28"/>
      <c r="L100" s="14"/>
      <c r="M100" s="28"/>
      <c r="N100" s="36"/>
      <c r="O100" s="35"/>
      <c r="P100" s="14"/>
      <c r="Q100" s="28"/>
      <c r="R100" s="36"/>
      <c r="S100" s="35"/>
      <c r="T100" s="37">
        <f t="shared" si="19"/>
        <v>0</v>
      </c>
      <c r="U100" s="38">
        <f t="shared" si="20"/>
        <v>0</v>
      </c>
      <c r="W100" t="str">
        <f t="shared" si="10"/>
        <v/>
      </c>
      <c r="X100" t="str">
        <f>IF(IF(COUNT($D$6:$D$125)=0,C100&lt;&gt;"",AND(C100&lt;&gt;"",ISNUMBER(D100),ISNUMBER(T100))),IF(COUNT($D$6:$D$125)=0,COUNTIF($C$6:C100,"&lt;&gt;"),SUMPRODUCT(--($C$6:C100&lt;&gt;""),--ISNUMBER($D$6:D100),--ISNUMBER($T$6:T100))),"")</f>
        <v/>
      </c>
    </row>
    <row r="101" spans="1:24" hidden="1">
      <c r="A101" s="64" t="str">
        <f t="shared" si="9"/>
        <v/>
      </c>
      <c r="B101" s="11">
        <v>96</v>
      </c>
      <c r="C101" s="22"/>
      <c r="D101" s="16"/>
      <c r="E101" s="23"/>
      <c r="F101" s="27"/>
      <c r="G101" s="35"/>
      <c r="H101" s="27"/>
      <c r="I101" s="28"/>
      <c r="J101" s="27"/>
      <c r="K101" s="28"/>
      <c r="L101" s="14"/>
      <c r="M101" s="28"/>
      <c r="N101" s="36"/>
      <c r="O101" s="35"/>
      <c r="P101" s="14"/>
      <c r="Q101" s="28"/>
      <c r="R101" s="36"/>
      <c r="S101" s="35"/>
      <c r="T101" s="37">
        <f t="shared" si="19"/>
        <v>0</v>
      </c>
      <c r="U101" s="38">
        <f t="shared" si="20"/>
        <v>0</v>
      </c>
      <c r="W101" t="str">
        <f t="shared" si="10"/>
        <v/>
      </c>
      <c r="X101" t="str">
        <f>IF(IF(COUNT($D$6:$D$125)=0,C101&lt;&gt;"",AND(C101&lt;&gt;"",ISNUMBER(D101),ISNUMBER(T101))),IF(COUNT($D$6:$D$125)=0,COUNTIF($C$6:C101,"&lt;&gt;"),SUMPRODUCT(--($C$6:C101&lt;&gt;""),--ISNUMBER($D$6:D101),--ISNUMBER($T$6:T101))),"")</f>
        <v/>
      </c>
    </row>
    <row r="102" spans="1:24" hidden="1">
      <c r="A102" s="63" t="str">
        <f t="shared" ref="A102:A125" si="21">IF(W102="","",IF(ROW()=6,W102,IF(W102&lt;&gt;W101,W102,"")))</f>
        <v/>
      </c>
      <c r="B102" s="11">
        <v>97</v>
      </c>
      <c r="C102" s="22"/>
      <c r="D102" s="16"/>
      <c r="E102" s="23"/>
      <c r="F102" s="27"/>
      <c r="G102" s="35"/>
      <c r="H102" s="27"/>
      <c r="I102" s="28"/>
      <c r="J102" s="27"/>
      <c r="K102" s="28"/>
      <c r="L102" s="14"/>
      <c r="M102" s="28"/>
      <c r="N102" s="36"/>
      <c r="O102" s="35"/>
      <c r="P102" s="14"/>
      <c r="Q102" s="28"/>
      <c r="R102" s="36"/>
      <c r="S102" s="35"/>
      <c r="T102" s="37">
        <f t="shared" si="19"/>
        <v>0</v>
      </c>
      <c r="U102" s="38">
        <f t="shared" si="20"/>
        <v>0</v>
      </c>
      <c r="W102" t="str">
        <f t="shared" ref="W102:W125" si="22">IF(X102="","",IF(X102&lt;=4*(INT($V$2/4)-MOD($V$2,4)),ROUNDUP(X102/4,0),(INT($V$2/4)-MOD($V$2,4))+ROUNDUP((X102-4*(INT($V$2/4)-MOD($V$2,4)))/5,0)))</f>
        <v/>
      </c>
      <c r="X102" t="str">
        <f>IF(IF(COUNT($D$6:$D$125)=0,C102&lt;&gt;"",AND(C102&lt;&gt;"",ISNUMBER(D102),ISNUMBER(T102))),IF(COUNT($D$6:$D$125)=0,COUNTIF($C$6:C102,"&lt;&gt;"),SUMPRODUCT(--($C$6:C102&lt;&gt;""),--ISNUMBER($D$6:D102),--ISNUMBER($T$6:T102))),"")</f>
        <v/>
      </c>
    </row>
    <row r="103" spans="1:24" hidden="1">
      <c r="A103" s="63" t="str">
        <f t="shared" si="21"/>
        <v/>
      </c>
      <c r="B103" s="11">
        <v>98</v>
      </c>
      <c r="C103" s="22"/>
      <c r="D103" s="16"/>
      <c r="E103" s="23"/>
      <c r="F103" s="27"/>
      <c r="G103" s="35"/>
      <c r="H103" s="27"/>
      <c r="I103" s="28"/>
      <c r="J103" s="27"/>
      <c r="K103" s="28"/>
      <c r="L103" s="14"/>
      <c r="M103" s="28"/>
      <c r="N103" s="36"/>
      <c r="O103" s="35"/>
      <c r="P103" s="14"/>
      <c r="Q103" s="28"/>
      <c r="R103" s="36"/>
      <c r="S103" s="35"/>
      <c r="T103" s="37">
        <f t="shared" si="19"/>
        <v>0</v>
      </c>
      <c r="U103" s="38">
        <f t="shared" si="20"/>
        <v>0</v>
      </c>
      <c r="W103" t="str">
        <f t="shared" si="22"/>
        <v/>
      </c>
      <c r="X103" t="str">
        <f>IF(IF(COUNT($D$6:$D$125)=0,C103&lt;&gt;"",AND(C103&lt;&gt;"",ISNUMBER(D103),ISNUMBER(T103))),IF(COUNT($D$6:$D$125)=0,COUNTIF($C$6:C103,"&lt;&gt;"),SUMPRODUCT(--($C$6:C103&lt;&gt;""),--ISNUMBER($D$6:D103),--ISNUMBER($T$6:T103))),"")</f>
        <v/>
      </c>
    </row>
    <row r="104" spans="1:24" hidden="1">
      <c r="A104" s="63" t="str">
        <f t="shared" si="21"/>
        <v/>
      </c>
      <c r="B104" s="11">
        <v>99</v>
      </c>
      <c r="C104" s="22"/>
      <c r="D104" s="16"/>
      <c r="E104" s="23"/>
      <c r="F104" s="27"/>
      <c r="G104" s="35"/>
      <c r="H104" s="27"/>
      <c r="I104" s="28"/>
      <c r="J104" s="27"/>
      <c r="K104" s="28"/>
      <c r="L104" s="14"/>
      <c r="M104" s="28"/>
      <c r="N104" s="36"/>
      <c r="O104" s="35"/>
      <c r="P104" s="14"/>
      <c r="Q104" s="28"/>
      <c r="R104" s="36"/>
      <c r="S104" s="35"/>
      <c r="T104" s="37">
        <f t="shared" si="19"/>
        <v>0</v>
      </c>
      <c r="U104" s="38">
        <f t="shared" si="20"/>
        <v>0</v>
      </c>
      <c r="W104" t="str">
        <f t="shared" si="22"/>
        <v/>
      </c>
      <c r="X104" t="str">
        <f>IF(IF(COUNT($D$6:$D$125)=0,C104&lt;&gt;"",AND(C104&lt;&gt;"",ISNUMBER(D104),ISNUMBER(T104))),IF(COUNT($D$6:$D$125)=0,COUNTIF($C$6:C104,"&lt;&gt;"),SUMPRODUCT(--($C$6:C104&lt;&gt;""),--ISNUMBER($D$6:D104),--ISNUMBER($T$6:T104))),"")</f>
        <v/>
      </c>
    </row>
    <row r="105" spans="1:24" hidden="1">
      <c r="A105" s="63" t="str">
        <f t="shared" si="21"/>
        <v/>
      </c>
      <c r="B105" s="11">
        <v>100</v>
      </c>
      <c r="C105" s="22"/>
      <c r="D105" s="16"/>
      <c r="E105" s="23"/>
      <c r="F105" s="27"/>
      <c r="G105" s="35"/>
      <c r="H105" s="27"/>
      <c r="I105" s="28"/>
      <c r="J105" s="27"/>
      <c r="K105" s="28"/>
      <c r="L105" s="14"/>
      <c r="M105" s="28"/>
      <c r="N105" s="36"/>
      <c r="O105" s="35"/>
      <c r="P105" s="14"/>
      <c r="Q105" s="28"/>
      <c r="R105" s="36"/>
      <c r="S105" s="35"/>
      <c r="T105" s="37">
        <f t="shared" si="19"/>
        <v>0</v>
      </c>
      <c r="U105" s="38">
        <f t="shared" si="20"/>
        <v>0</v>
      </c>
      <c r="W105" t="str">
        <f t="shared" si="22"/>
        <v/>
      </c>
      <c r="X105" t="str">
        <f>IF(IF(COUNT($D$6:$D$125)=0,C105&lt;&gt;"",AND(C105&lt;&gt;"",ISNUMBER(D105),ISNUMBER(T105))),IF(COUNT($D$6:$D$125)=0,COUNTIF($C$6:C105,"&lt;&gt;"),SUMPRODUCT(--($C$6:C105&lt;&gt;""),--ISNUMBER($D$6:D105),--ISNUMBER($T$6:T105))),"")</f>
        <v/>
      </c>
    </row>
    <row r="106" spans="1:24" hidden="1">
      <c r="A106" s="64" t="str">
        <f t="shared" si="21"/>
        <v/>
      </c>
      <c r="B106" s="11">
        <v>101</v>
      </c>
      <c r="C106" s="22"/>
      <c r="D106" s="16"/>
      <c r="E106" s="23"/>
      <c r="F106" s="27"/>
      <c r="G106" s="35"/>
      <c r="H106" s="27"/>
      <c r="I106" s="28"/>
      <c r="J106" s="27"/>
      <c r="K106" s="28"/>
      <c r="L106" s="14"/>
      <c r="M106" s="28"/>
      <c r="N106" s="36"/>
      <c r="O106" s="35"/>
      <c r="P106" s="14"/>
      <c r="Q106" s="28"/>
      <c r="R106" s="36"/>
      <c r="S106" s="35"/>
      <c r="T106" s="37">
        <f t="shared" si="19"/>
        <v>0</v>
      </c>
      <c r="U106" s="38">
        <f t="shared" si="20"/>
        <v>0</v>
      </c>
      <c r="W106" t="str">
        <f t="shared" si="22"/>
        <v/>
      </c>
      <c r="X106" t="str">
        <f>IF(IF(COUNT($D$6:$D$125)=0,C106&lt;&gt;"",AND(C106&lt;&gt;"",ISNUMBER(D106),ISNUMBER(T106))),IF(COUNT($D$6:$D$125)=0,COUNTIF($C$6:C106,"&lt;&gt;"),SUMPRODUCT(--($C$6:C106&lt;&gt;""),--ISNUMBER($D$6:D106),--ISNUMBER($T$6:T106))),"")</f>
        <v/>
      </c>
    </row>
    <row r="107" spans="1:24" hidden="1">
      <c r="A107" s="64" t="str">
        <f t="shared" si="21"/>
        <v/>
      </c>
      <c r="B107" s="11">
        <v>102</v>
      </c>
      <c r="C107" s="22"/>
      <c r="D107" s="16"/>
      <c r="E107" s="23"/>
      <c r="F107" s="27"/>
      <c r="G107" s="35"/>
      <c r="H107" s="27"/>
      <c r="I107" s="28"/>
      <c r="J107" s="27"/>
      <c r="K107" s="28"/>
      <c r="L107" s="14"/>
      <c r="M107" s="28"/>
      <c r="N107" s="36"/>
      <c r="O107" s="35"/>
      <c r="P107" s="14"/>
      <c r="Q107" s="28"/>
      <c r="R107" s="36"/>
      <c r="S107" s="35"/>
      <c r="T107" s="37">
        <f t="shared" si="19"/>
        <v>0</v>
      </c>
      <c r="U107" s="38">
        <f t="shared" si="20"/>
        <v>0</v>
      </c>
      <c r="W107" t="str">
        <f t="shared" si="22"/>
        <v/>
      </c>
      <c r="X107" t="str">
        <f>IF(IF(COUNT($D$6:$D$125)=0,C107&lt;&gt;"",AND(C107&lt;&gt;"",ISNUMBER(D107),ISNUMBER(T107))),IF(COUNT($D$6:$D$125)=0,COUNTIF($C$6:C107,"&lt;&gt;"),SUMPRODUCT(--($C$6:C107&lt;&gt;""),--ISNUMBER($D$6:D107),--ISNUMBER($T$6:T107))),"")</f>
        <v/>
      </c>
    </row>
    <row r="108" spans="1:24" hidden="1">
      <c r="A108" s="64" t="str">
        <f t="shared" si="21"/>
        <v/>
      </c>
      <c r="B108" s="11">
        <v>103</v>
      </c>
      <c r="C108" s="22"/>
      <c r="D108" s="16"/>
      <c r="E108" s="23"/>
      <c r="F108" s="27"/>
      <c r="G108" s="35"/>
      <c r="H108" s="27"/>
      <c r="I108" s="28"/>
      <c r="J108" s="27"/>
      <c r="K108" s="28"/>
      <c r="L108" s="14"/>
      <c r="M108" s="28"/>
      <c r="N108" s="36"/>
      <c r="O108" s="35"/>
      <c r="P108" s="14"/>
      <c r="Q108" s="28"/>
      <c r="R108" s="36"/>
      <c r="S108" s="35"/>
      <c r="T108" s="37">
        <f t="shared" si="19"/>
        <v>0</v>
      </c>
      <c r="U108" s="38">
        <f t="shared" si="20"/>
        <v>0</v>
      </c>
      <c r="W108" t="str">
        <f t="shared" si="22"/>
        <v/>
      </c>
      <c r="X108" t="str">
        <f>IF(IF(COUNT($D$6:$D$125)=0,C108&lt;&gt;"",AND(C108&lt;&gt;"",ISNUMBER(D108),ISNUMBER(T108))),IF(COUNT($D$6:$D$125)=0,COUNTIF($C$6:C108,"&lt;&gt;"),SUMPRODUCT(--($C$6:C108&lt;&gt;""),--ISNUMBER($D$6:D108),--ISNUMBER($T$6:T108))),"")</f>
        <v/>
      </c>
    </row>
    <row r="109" spans="1:24" hidden="1">
      <c r="A109" s="64" t="str">
        <f t="shared" si="21"/>
        <v/>
      </c>
      <c r="B109" s="11">
        <v>104</v>
      </c>
      <c r="C109" s="22"/>
      <c r="D109" s="16"/>
      <c r="E109" s="23"/>
      <c r="F109" s="27"/>
      <c r="G109" s="35"/>
      <c r="H109" s="27"/>
      <c r="I109" s="28"/>
      <c r="J109" s="27"/>
      <c r="K109" s="28"/>
      <c r="L109" s="14"/>
      <c r="M109" s="28"/>
      <c r="N109" s="36"/>
      <c r="O109" s="35"/>
      <c r="P109" s="14"/>
      <c r="Q109" s="28"/>
      <c r="R109" s="36"/>
      <c r="S109" s="35"/>
      <c r="T109" s="37">
        <f t="shared" si="19"/>
        <v>0</v>
      </c>
      <c r="U109" s="38">
        <f t="shared" si="20"/>
        <v>0</v>
      </c>
      <c r="W109" t="str">
        <f t="shared" si="22"/>
        <v/>
      </c>
      <c r="X109" t="str">
        <f>IF(IF(COUNT($D$6:$D$125)=0,C109&lt;&gt;"",AND(C109&lt;&gt;"",ISNUMBER(D109),ISNUMBER(T109))),IF(COUNT($D$6:$D$125)=0,COUNTIF($C$6:C109,"&lt;&gt;"),SUMPRODUCT(--($C$6:C109&lt;&gt;""),--ISNUMBER($D$6:D109),--ISNUMBER($T$6:T109))),"")</f>
        <v/>
      </c>
    </row>
    <row r="110" spans="1:24" hidden="1">
      <c r="A110" s="63" t="str">
        <f t="shared" si="21"/>
        <v/>
      </c>
      <c r="B110" s="11">
        <v>105</v>
      </c>
      <c r="C110" s="22"/>
      <c r="D110" s="16"/>
      <c r="E110" s="23"/>
      <c r="F110" s="27"/>
      <c r="G110" s="35"/>
      <c r="H110" s="27"/>
      <c r="I110" s="28"/>
      <c r="J110" s="27"/>
      <c r="K110" s="28"/>
      <c r="L110" s="14"/>
      <c r="M110" s="28"/>
      <c r="N110" s="36"/>
      <c r="O110" s="35"/>
      <c r="P110" s="14"/>
      <c r="Q110" s="28"/>
      <c r="R110" s="36"/>
      <c r="S110" s="35"/>
      <c r="T110" s="37">
        <f t="shared" si="19"/>
        <v>0</v>
      </c>
      <c r="U110" s="38">
        <f t="shared" si="20"/>
        <v>0</v>
      </c>
      <c r="W110" t="str">
        <f t="shared" si="22"/>
        <v/>
      </c>
      <c r="X110" t="str">
        <f>IF(IF(COUNT($D$6:$D$125)=0,C110&lt;&gt;"",AND(C110&lt;&gt;"",ISNUMBER(D110),ISNUMBER(T110))),IF(COUNT($D$6:$D$125)=0,COUNTIF($C$6:C110,"&lt;&gt;"),SUMPRODUCT(--($C$6:C110&lt;&gt;""),--ISNUMBER($D$6:D110),--ISNUMBER($T$6:T110))),"")</f>
        <v/>
      </c>
    </row>
    <row r="111" spans="1:24" hidden="1">
      <c r="A111" s="63" t="str">
        <f t="shared" si="21"/>
        <v/>
      </c>
      <c r="B111" s="11">
        <v>106</v>
      </c>
      <c r="C111" s="22"/>
      <c r="D111" s="16"/>
      <c r="E111" s="23"/>
      <c r="F111" s="27"/>
      <c r="G111" s="35"/>
      <c r="H111" s="27"/>
      <c r="I111" s="28"/>
      <c r="J111" s="27"/>
      <c r="K111" s="28"/>
      <c r="L111" s="14"/>
      <c r="M111" s="28"/>
      <c r="N111" s="36"/>
      <c r="O111" s="35"/>
      <c r="P111" s="14"/>
      <c r="Q111" s="28"/>
      <c r="R111" s="36"/>
      <c r="S111" s="35"/>
      <c r="T111" s="37">
        <f t="shared" si="19"/>
        <v>0</v>
      </c>
      <c r="U111" s="38">
        <f t="shared" si="20"/>
        <v>0</v>
      </c>
      <c r="W111" t="str">
        <f t="shared" si="22"/>
        <v/>
      </c>
      <c r="X111" t="str">
        <f>IF(IF(COUNT($D$6:$D$125)=0,C111&lt;&gt;"",AND(C111&lt;&gt;"",ISNUMBER(D111),ISNUMBER(T111))),IF(COUNT($D$6:$D$125)=0,COUNTIF($C$6:C111,"&lt;&gt;"),SUMPRODUCT(--($C$6:C111&lt;&gt;""),--ISNUMBER($D$6:D111),--ISNUMBER($T$6:T111))),"")</f>
        <v/>
      </c>
    </row>
    <row r="112" spans="1:24" hidden="1">
      <c r="A112" s="63" t="str">
        <f t="shared" si="21"/>
        <v/>
      </c>
      <c r="B112" s="11">
        <v>107</v>
      </c>
      <c r="C112" s="22"/>
      <c r="D112" s="16"/>
      <c r="E112" s="23"/>
      <c r="F112" s="27"/>
      <c r="G112" s="35"/>
      <c r="H112" s="27"/>
      <c r="I112" s="28"/>
      <c r="J112" s="27"/>
      <c r="K112" s="28"/>
      <c r="L112" s="14"/>
      <c r="M112" s="28"/>
      <c r="N112" s="36"/>
      <c r="O112" s="35"/>
      <c r="P112" s="14"/>
      <c r="Q112" s="28"/>
      <c r="R112" s="36"/>
      <c r="S112" s="35"/>
      <c r="T112" s="37">
        <f t="shared" si="19"/>
        <v>0</v>
      </c>
      <c r="U112" s="38">
        <f t="shared" si="20"/>
        <v>0</v>
      </c>
      <c r="W112" t="str">
        <f t="shared" si="22"/>
        <v/>
      </c>
      <c r="X112" t="str">
        <f>IF(IF(COUNT($D$6:$D$125)=0,C112&lt;&gt;"",AND(C112&lt;&gt;"",ISNUMBER(D112),ISNUMBER(T112))),IF(COUNT($D$6:$D$125)=0,COUNTIF($C$6:C112,"&lt;&gt;"),SUMPRODUCT(--($C$6:C112&lt;&gt;""),--ISNUMBER($D$6:D112),--ISNUMBER($T$6:T112))),"")</f>
        <v/>
      </c>
    </row>
    <row r="113" spans="1:24" hidden="1">
      <c r="A113" s="63" t="str">
        <f t="shared" si="21"/>
        <v/>
      </c>
      <c r="B113" s="11">
        <v>108</v>
      </c>
      <c r="C113" s="22"/>
      <c r="D113" s="16"/>
      <c r="E113" s="23"/>
      <c r="F113" s="27"/>
      <c r="G113" s="35"/>
      <c r="H113" s="27"/>
      <c r="I113" s="28"/>
      <c r="J113" s="27"/>
      <c r="K113" s="28"/>
      <c r="L113" s="14"/>
      <c r="M113" s="28"/>
      <c r="N113" s="36"/>
      <c r="O113" s="35"/>
      <c r="P113" s="14"/>
      <c r="Q113" s="28"/>
      <c r="R113" s="36"/>
      <c r="S113" s="35"/>
      <c r="T113" s="37">
        <f t="shared" si="19"/>
        <v>0</v>
      </c>
      <c r="U113" s="38">
        <f t="shared" si="20"/>
        <v>0</v>
      </c>
      <c r="W113" t="str">
        <f t="shared" si="22"/>
        <v/>
      </c>
      <c r="X113" t="str">
        <f>IF(IF(COUNT($D$6:$D$125)=0,C113&lt;&gt;"",AND(C113&lt;&gt;"",ISNUMBER(D113),ISNUMBER(T113))),IF(COUNT($D$6:$D$125)=0,COUNTIF($C$6:C113,"&lt;&gt;"),SUMPRODUCT(--($C$6:C113&lt;&gt;""),--ISNUMBER($D$6:D113),--ISNUMBER($T$6:T113))),"")</f>
        <v/>
      </c>
    </row>
    <row r="114" spans="1:24" hidden="1">
      <c r="A114" s="64" t="str">
        <f t="shared" si="21"/>
        <v/>
      </c>
      <c r="B114" s="11">
        <v>109</v>
      </c>
      <c r="C114" s="22"/>
      <c r="D114" s="16"/>
      <c r="E114" s="23"/>
      <c r="F114" s="27"/>
      <c r="G114" s="35"/>
      <c r="H114" s="27"/>
      <c r="I114" s="28"/>
      <c r="J114" s="27"/>
      <c r="K114" s="28"/>
      <c r="L114" s="14"/>
      <c r="M114" s="28"/>
      <c r="N114" s="36"/>
      <c r="O114" s="35"/>
      <c r="P114" s="14"/>
      <c r="Q114" s="28"/>
      <c r="R114" s="36"/>
      <c r="S114" s="35"/>
      <c r="T114" s="37">
        <f t="shared" si="19"/>
        <v>0</v>
      </c>
      <c r="U114" s="38">
        <f t="shared" si="20"/>
        <v>0</v>
      </c>
      <c r="W114" t="str">
        <f t="shared" si="22"/>
        <v/>
      </c>
      <c r="X114" t="str">
        <f>IF(IF(COUNT($D$6:$D$125)=0,C114&lt;&gt;"",AND(C114&lt;&gt;"",ISNUMBER(D114),ISNUMBER(T114))),IF(COUNT($D$6:$D$125)=0,COUNTIF($C$6:C114,"&lt;&gt;"),SUMPRODUCT(--($C$6:C114&lt;&gt;""),--ISNUMBER($D$6:D114),--ISNUMBER($T$6:T114))),"")</f>
        <v/>
      </c>
    </row>
    <row r="115" spans="1:24" hidden="1">
      <c r="A115" s="64" t="str">
        <f t="shared" si="21"/>
        <v/>
      </c>
      <c r="B115" s="11">
        <v>110</v>
      </c>
      <c r="C115" s="22"/>
      <c r="D115" s="16"/>
      <c r="E115" s="23"/>
      <c r="F115" s="27"/>
      <c r="G115" s="35"/>
      <c r="H115" s="27"/>
      <c r="I115" s="28"/>
      <c r="J115" s="27"/>
      <c r="K115" s="28"/>
      <c r="L115" s="14"/>
      <c r="M115" s="28"/>
      <c r="N115" s="36"/>
      <c r="O115" s="35"/>
      <c r="P115" s="14"/>
      <c r="Q115" s="28"/>
      <c r="R115" s="36"/>
      <c r="S115" s="35"/>
      <c r="T115" s="37">
        <f t="shared" si="19"/>
        <v>0</v>
      </c>
      <c r="U115" s="38">
        <f t="shared" si="20"/>
        <v>0</v>
      </c>
      <c r="W115" t="str">
        <f t="shared" si="22"/>
        <v/>
      </c>
      <c r="X115" t="str">
        <f>IF(IF(COUNT($D$6:$D$125)=0,C115&lt;&gt;"",AND(C115&lt;&gt;"",ISNUMBER(D115),ISNUMBER(T115))),IF(COUNT($D$6:$D$125)=0,COUNTIF($C$6:C115,"&lt;&gt;"),SUMPRODUCT(--($C$6:C115&lt;&gt;""),--ISNUMBER($D$6:D115),--ISNUMBER($T$6:T115))),"")</f>
        <v/>
      </c>
    </row>
    <row r="116" spans="1:24" hidden="1">
      <c r="A116" s="64" t="str">
        <f t="shared" si="21"/>
        <v/>
      </c>
      <c r="B116" s="11">
        <v>111</v>
      </c>
      <c r="C116" s="22"/>
      <c r="D116" s="16"/>
      <c r="E116" s="23"/>
      <c r="F116" s="27"/>
      <c r="G116" s="35"/>
      <c r="H116" s="27"/>
      <c r="I116" s="28"/>
      <c r="J116" s="27"/>
      <c r="K116" s="28"/>
      <c r="L116" s="14"/>
      <c r="M116" s="28"/>
      <c r="N116" s="36"/>
      <c r="O116" s="35"/>
      <c r="P116" s="14"/>
      <c r="Q116" s="28"/>
      <c r="R116" s="36"/>
      <c r="S116" s="35"/>
      <c r="T116" s="37">
        <f t="shared" si="19"/>
        <v>0</v>
      </c>
      <c r="U116" s="38">
        <f t="shared" si="20"/>
        <v>0</v>
      </c>
      <c r="W116" t="str">
        <f t="shared" si="22"/>
        <v/>
      </c>
      <c r="X116" t="str">
        <f>IF(IF(COUNT($D$6:$D$125)=0,C116&lt;&gt;"",AND(C116&lt;&gt;"",ISNUMBER(D116),ISNUMBER(T116))),IF(COUNT($D$6:$D$125)=0,COUNTIF($C$6:C116,"&lt;&gt;"),SUMPRODUCT(--($C$6:C116&lt;&gt;""),--ISNUMBER($D$6:D116),--ISNUMBER($T$6:T116))),"")</f>
        <v/>
      </c>
    </row>
    <row r="117" spans="1:24" hidden="1">
      <c r="A117" s="64" t="str">
        <f t="shared" si="21"/>
        <v/>
      </c>
      <c r="B117" s="11">
        <v>112</v>
      </c>
      <c r="C117" s="22"/>
      <c r="D117" s="16"/>
      <c r="E117" s="23"/>
      <c r="F117" s="27"/>
      <c r="G117" s="35"/>
      <c r="H117" s="27"/>
      <c r="I117" s="28"/>
      <c r="J117" s="27"/>
      <c r="K117" s="28"/>
      <c r="L117" s="14"/>
      <c r="M117" s="28"/>
      <c r="N117" s="36"/>
      <c r="O117" s="35"/>
      <c r="P117" s="14"/>
      <c r="Q117" s="28"/>
      <c r="R117" s="36"/>
      <c r="S117" s="35"/>
      <c r="T117" s="37">
        <f t="shared" si="19"/>
        <v>0</v>
      </c>
      <c r="U117" s="38">
        <f t="shared" si="20"/>
        <v>0</v>
      </c>
      <c r="W117" t="str">
        <f t="shared" si="22"/>
        <v/>
      </c>
      <c r="X117" t="str">
        <f>IF(IF(COUNT($D$6:$D$125)=0,C117&lt;&gt;"",AND(C117&lt;&gt;"",ISNUMBER(D117),ISNUMBER(T117))),IF(COUNT($D$6:$D$125)=0,COUNTIF($C$6:C117,"&lt;&gt;"),SUMPRODUCT(--($C$6:C117&lt;&gt;""),--ISNUMBER($D$6:D117),--ISNUMBER($T$6:T117))),"")</f>
        <v/>
      </c>
    </row>
    <row r="118" spans="1:24" hidden="1">
      <c r="A118" s="63" t="str">
        <f t="shared" si="21"/>
        <v/>
      </c>
      <c r="B118" s="11">
        <v>113</v>
      </c>
      <c r="C118" s="22"/>
      <c r="D118" s="16"/>
      <c r="E118" s="23"/>
      <c r="F118" s="27"/>
      <c r="G118" s="35"/>
      <c r="H118" s="27"/>
      <c r="I118" s="28"/>
      <c r="J118" s="27"/>
      <c r="K118" s="28"/>
      <c r="L118" s="14"/>
      <c r="M118" s="28"/>
      <c r="N118" s="36"/>
      <c r="O118" s="35"/>
      <c r="P118" s="14"/>
      <c r="Q118" s="28"/>
      <c r="R118" s="36"/>
      <c r="S118" s="35"/>
      <c r="T118" s="37">
        <f t="shared" si="19"/>
        <v>0</v>
      </c>
      <c r="U118" s="38">
        <f t="shared" si="20"/>
        <v>0</v>
      </c>
      <c r="W118" t="str">
        <f t="shared" si="22"/>
        <v/>
      </c>
      <c r="X118" t="str">
        <f>IF(IF(COUNT($D$6:$D$125)=0,C118&lt;&gt;"",AND(C118&lt;&gt;"",ISNUMBER(D118),ISNUMBER(T118))),IF(COUNT($D$6:$D$125)=0,COUNTIF($C$6:C118,"&lt;&gt;"),SUMPRODUCT(--($C$6:C118&lt;&gt;""),--ISNUMBER($D$6:D118),--ISNUMBER($T$6:T118))),"")</f>
        <v/>
      </c>
    </row>
    <row r="119" spans="1:24" hidden="1">
      <c r="A119" s="63" t="str">
        <f t="shared" si="21"/>
        <v/>
      </c>
      <c r="B119" s="11">
        <v>114</v>
      </c>
      <c r="C119" s="22"/>
      <c r="D119" s="16"/>
      <c r="E119" s="23"/>
      <c r="F119" s="27"/>
      <c r="G119" s="35"/>
      <c r="H119" s="27"/>
      <c r="I119" s="28"/>
      <c r="J119" s="27"/>
      <c r="K119" s="28"/>
      <c r="L119" s="14"/>
      <c r="M119" s="28"/>
      <c r="N119" s="36"/>
      <c r="O119" s="35"/>
      <c r="P119" s="14"/>
      <c r="Q119" s="28"/>
      <c r="R119" s="36"/>
      <c r="S119" s="35"/>
      <c r="T119" s="37">
        <f t="shared" si="19"/>
        <v>0</v>
      </c>
      <c r="U119" s="38">
        <f t="shared" si="20"/>
        <v>0</v>
      </c>
      <c r="W119" t="str">
        <f t="shared" si="22"/>
        <v/>
      </c>
      <c r="X119" t="str">
        <f>IF(IF(COUNT($D$6:$D$125)=0,C119&lt;&gt;"",AND(C119&lt;&gt;"",ISNUMBER(D119),ISNUMBER(T119))),IF(COUNT($D$6:$D$125)=0,COUNTIF($C$6:C119,"&lt;&gt;"),SUMPRODUCT(--($C$6:C119&lt;&gt;""),--ISNUMBER($D$6:D119),--ISNUMBER($T$6:T119))),"")</f>
        <v/>
      </c>
    </row>
    <row r="120" spans="1:24" hidden="1">
      <c r="A120" s="63" t="str">
        <f t="shared" si="21"/>
        <v/>
      </c>
      <c r="B120" s="11">
        <v>115</v>
      </c>
      <c r="C120" s="22"/>
      <c r="D120" s="16"/>
      <c r="E120" s="23"/>
      <c r="F120" s="27"/>
      <c r="G120" s="35"/>
      <c r="H120" s="27"/>
      <c r="I120" s="28"/>
      <c r="J120" s="27"/>
      <c r="K120" s="28"/>
      <c r="L120" s="14"/>
      <c r="M120" s="28"/>
      <c r="N120" s="36"/>
      <c r="O120" s="35"/>
      <c r="P120" s="14"/>
      <c r="Q120" s="28"/>
      <c r="R120" s="36"/>
      <c r="S120" s="35"/>
      <c r="T120" s="37">
        <f t="shared" si="19"/>
        <v>0</v>
      </c>
      <c r="U120" s="38">
        <f t="shared" si="20"/>
        <v>0</v>
      </c>
      <c r="W120" t="str">
        <f t="shared" si="22"/>
        <v/>
      </c>
      <c r="X120" t="str">
        <f>IF(IF(COUNT($D$6:$D$125)=0,C120&lt;&gt;"",AND(C120&lt;&gt;"",ISNUMBER(D120),ISNUMBER(T120))),IF(COUNT($D$6:$D$125)=0,COUNTIF($C$6:C120,"&lt;&gt;"),SUMPRODUCT(--($C$6:C120&lt;&gt;""),--ISNUMBER($D$6:D120),--ISNUMBER($T$6:T120))),"")</f>
        <v/>
      </c>
    </row>
    <row r="121" spans="1:24" hidden="1">
      <c r="A121" s="63" t="str">
        <f t="shared" si="21"/>
        <v/>
      </c>
      <c r="B121" s="11">
        <v>116</v>
      </c>
      <c r="C121" s="22"/>
      <c r="D121" s="16"/>
      <c r="E121" s="23"/>
      <c r="F121" s="27"/>
      <c r="G121" s="35"/>
      <c r="H121" s="27"/>
      <c r="I121" s="28"/>
      <c r="J121" s="27"/>
      <c r="K121" s="28"/>
      <c r="L121" s="14"/>
      <c r="M121" s="28"/>
      <c r="N121" s="36"/>
      <c r="O121" s="35"/>
      <c r="P121" s="14"/>
      <c r="Q121" s="28"/>
      <c r="R121" s="36"/>
      <c r="S121" s="35"/>
      <c r="T121" s="37">
        <f t="shared" si="19"/>
        <v>0</v>
      </c>
      <c r="U121" s="38">
        <f t="shared" si="20"/>
        <v>0</v>
      </c>
      <c r="W121" t="str">
        <f t="shared" si="22"/>
        <v/>
      </c>
      <c r="X121" t="str">
        <f>IF(IF(COUNT($D$6:$D$125)=0,C121&lt;&gt;"",AND(C121&lt;&gt;"",ISNUMBER(D121),ISNUMBER(T121))),IF(COUNT($D$6:$D$125)=0,COUNTIF($C$6:C121,"&lt;&gt;"),SUMPRODUCT(--($C$6:C121&lt;&gt;""),--ISNUMBER($D$6:D121),--ISNUMBER($T$6:T121))),"")</f>
        <v/>
      </c>
    </row>
    <row r="122" spans="1:24" hidden="1">
      <c r="A122" s="64" t="str">
        <f t="shared" si="21"/>
        <v/>
      </c>
      <c r="B122" s="11">
        <v>117</v>
      </c>
      <c r="C122" s="22"/>
      <c r="D122" s="16"/>
      <c r="E122" s="23"/>
      <c r="F122" s="27"/>
      <c r="G122" s="35"/>
      <c r="H122" s="27"/>
      <c r="I122" s="28"/>
      <c r="J122" s="27"/>
      <c r="K122" s="28"/>
      <c r="L122" s="14"/>
      <c r="M122" s="28"/>
      <c r="N122" s="36"/>
      <c r="O122" s="35"/>
      <c r="P122" s="14"/>
      <c r="Q122" s="28"/>
      <c r="R122" s="36"/>
      <c r="S122" s="35"/>
      <c r="T122" s="37">
        <f t="shared" si="19"/>
        <v>0</v>
      </c>
      <c r="U122" s="38">
        <f t="shared" si="20"/>
        <v>0</v>
      </c>
      <c r="W122" t="str">
        <f t="shared" si="22"/>
        <v/>
      </c>
      <c r="X122" t="str">
        <f>IF(IF(COUNT($D$6:$D$125)=0,C122&lt;&gt;"",AND(C122&lt;&gt;"",ISNUMBER(D122),ISNUMBER(T122))),IF(COUNT($D$6:$D$125)=0,COUNTIF($C$6:C122,"&lt;&gt;"),SUMPRODUCT(--($C$6:C122&lt;&gt;""),--ISNUMBER($D$6:D122),--ISNUMBER($T$6:T122))),"")</f>
        <v/>
      </c>
    </row>
    <row r="123" spans="1:24" hidden="1">
      <c r="A123" s="64" t="str">
        <f t="shared" si="21"/>
        <v/>
      </c>
      <c r="B123" s="11">
        <v>118</v>
      </c>
      <c r="C123" s="22"/>
      <c r="D123" s="16"/>
      <c r="E123" s="23"/>
      <c r="F123" s="27"/>
      <c r="G123" s="35"/>
      <c r="H123" s="27"/>
      <c r="I123" s="28"/>
      <c r="J123" s="27"/>
      <c r="K123" s="28"/>
      <c r="L123" s="14"/>
      <c r="M123" s="28"/>
      <c r="N123" s="36"/>
      <c r="O123" s="35"/>
      <c r="P123" s="14"/>
      <c r="Q123" s="28"/>
      <c r="R123" s="36"/>
      <c r="S123" s="35"/>
      <c r="T123" s="37">
        <f t="shared" si="19"/>
        <v>0</v>
      </c>
      <c r="U123" s="38">
        <f t="shared" si="20"/>
        <v>0</v>
      </c>
      <c r="W123" t="str">
        <f t="shared" si="22"/>
        <v/>
      </c>
      <c r="X123" t="str">
        <f>IF(IF(COUNT($D$6:$D$125)=0,C123&lt;&gt;"",AND(C123&lt;&gt;"",ISNUMBER(D123),ISNUMBER(T123))),IF(COUNT($D$6:$D$125)=0,COUNTIF($C$6:C123,"&lt;&gt;"),SUMPRODUCT(--($C$6:C123&lt;&gt;""),--ISNUMBER($D$6:D123),--ISNUMBER($T$6:T123))),"")</f>
        <v/>
      </c>
    </row>
    <row r="124" spans="1:24" hidden="1">
      <c r="A124" s="64" t="str">
        <f t="shared" si="21"/>
        <v/>
      </c>
      <c r="B124" s="11">
        <v>119</v>
      </c>
      <c r="C124" s="22"/>
      <c r="D124" s="16"/>
      <c r="E124" s="23"/>
      <c r="F124" s="27"/>
      <c r="G124" s="35"/>
      <c r="H124" s="27"/>
      <c r="I124" s="28"/>
      <c r="J124" s="27"/>
      <c r="K124" s="28"/>
      <c r="L124" s="14"/>
      <c r="M124" s="28"/>
      <c r="N124" s="36"/>
      <c r="O124" s="35"/>
      <c r="P124" s="14"/>
      <c r="Q124" s="28"/>
      <c r="R124" s="36"/>
      <c r="S124" s="35"/>
      <c r="T124" s="37">
        <f t="shared" si="19"/>
        <v>0</v>
      </c>
      <c r="U124" s="38">
        <f t="shared" si="20"/>
        <v>0</v>
      </c>
      <c r="W124" t="str">
        <f t="shared" si="22"/>
        <v/>
      </c>
      <c r="X124" t="str">
        <f>IF(IF(COUNT($D$6:$D$125)=0,C124&lt;&gt;"",AND(C124&lt;&gt;"",ISNUMBER(D124),ISNUMBER(T124))),IF(COUNT($D$6:$D$125)=0,COUNTIF($C$6:C124,"&lt;&gt;"),SUMPRODUCT(--($C$6:C124&lt;&gt;""),--ISNUMBER($D$6:D124),--ISNUMBER($T$6:T124))),"")</f>
        <v/>
      </c>
    </row>
    <row r="125" spans="1:24" hidden="1">
      <c r="A125" s="64" t="str">
        <f t="shared" si="21"/>
        <v/>
      </c>
      <c r="B125" s="11">
        <v>120</v>
      </c>
      <c r="C125" s="22"/>
      <c r="D125" s="16"/>
      <c r="E125" s="28"/>
      <c r="F125" s="27"/>
      <c r="G125" s="28"/>
      <c r="H125" s="27"/>
      <c r="I125" s="28"/>
      <c r="J125" s="27"/>
      <c r="K125" s="28"/>
      <c r="L125" s="16"/>
      <c r="M125" s="28"/>
      <c r="N125" s="27"/>
      <c r="O125" s="28"/>
      <c r="P125" s="16"/>
      <c r="Q125" s="28"/>
      <c r="R125" s="27"/>
      <c r="S125" s="28"/>
      <c r="T125" s="37">
        <f t="shared" si="19"/>
        <v>0</v>
      </c>
      <c r="U125" s="39">
        <f t="shared" si="20"/>
        <v>0</v>
      </c>
      <c r="W125" t="str">
        <f t="shared" si="22"/>
        <v/>
      </c>
      <c r="X125" t="str">
        <f>IF(IF(COUNT($D$6:$D$125)=0,C125&lt;&gt;"",AND(C125&lt;&gt;"",ISNUMBER(D125),ISNUMBER(T125))),IF(COUNT($D$6:$D$125)=0,COUNTIF($C$6:C125,"&lt;&gt;"),SUMPRODUCT(--($C$6:C125&lt;&gt;""),--ISNUMBER($D$6:D125),--ISNUMBER($T$6:T125))),"")</f>
        <v/>
      </c>
    </row>
    <row r="126" spans="1:24">
      <c r="D126" s="70" cm="1">
        <f t="array" ref="D126">SUMPRODUCT(SUMIF($W$6:$W$125,ROW($1:$30),$D$6:$D$125)/(12+3*(COUNTIF($W$6:$W$125,ROW($1:$30))=5)))</f>
        <v>14.983333333333333</v>
      </c>
      <c r="E126" s="9">
        <f t="shared" ref="E126:U126" si="23">SUM(E6:E125)</f>
        <v>0</v>
      </c>
      <c r="F126" s="70" cm="1">
        <f t="array" ref="F126">SUMPRODUCT(SUMIF($W$6:$W$125,ROW($1:$30),$F$6:$F$125)/(12+3*(COUNTIF($W$6:$W$125,ROW($1:$30))=5)))</f>
        <v>14.1</v>
      </c>
      <c r="G126" s="9">
        <f t="shared" si="23"/>
        <v>0</v>
      </c>
      <c r="H126" s="70" cm="1">
        <f t="array" ref="H126">SUMPRODUCT(SUMIF($W$6:$W$125,ROW($1:$30),$H$6:$H$125)/(12+3*(COUNTIF($W$6:$W$125,ROW($1:$30))=5)))</f>
        <v>15.133333333333333</v>
      </c>
      <c r="I126" s="9">
        <f t="shared" si="23"/>
        <v>0</v>
      </c>
      <c r="J126" s="70" cm="1">
        <f t="array" ref="J126">SUMPRODUCT(SUMIF($W$6:$W$125,ROW($1:$30),$J$6:$J$125)/(12+3*(COUNTIF($W$6:$W$125,ROW($1:$30))=5)))</f>
        <v>14.533333333333331</v>
      </c>
      <c r="K126" s="9">
        <f t="shared" si="23"/>
        <v>0</v>
      </c>
      <c r="L126" s="70" cm="1">
        <f t="array" ref="L126">SUMPRODUCT(SUMIF($W$6:$W$125,ROW($1:$30),$L$6:$L$125)/(12+3*(COUNTIF($W$6:$W$125,ROW($1:$30))=5)))</f>
        <v>14.766666666666667</v>
      </c>
      <c r="M126" s="9">
        <f t="shared" si="23"/>
        <v>0</v>
      </c>
      <c r="N126" s="70" cm="1">
        <f t="array" ref="N126">SUMPRODUCT(SUMIF($W$6:$W$125,ROW($1:$30),$N$6:$N$125)/(12+3*(COUNTIF($W$6:$W$125,ROW($1:$30))=5)))</f>
        <v>14.216666666666667</v>
      </c>
      <c r="O126" s="9">
        <f t="shared" si="23"/>
        <v>0</v>
      </c>
      <c r="P126" s="70" cm="1">
        <f t="array" ref="P126">SUMPRODUCT(SUMIF($W$6:$W$125,ROW($1:$30),$P$6:$P$125)/(12+3*(COUNTIF($W$6:$W$125,ROW($1:$30))=5)))</f>
        <v>14.1</v>
      </c>
      <c r="Q126" s="9">
        <f t="shared" si="23"/>
        <v>0</v>
      </c>
      <c r="R126" s="70" cm="1">
        <f t="array" ref="R126">SUMPRODUCT(SUMIF($W$6:$W$125,ROW($1:$30),$R$6:$R$125)/(12+3*(COUNTIF($W$6:$W$125,ROW($1:$30))=5)))</f>
        <v>0</v>
      </c>
      <c r="S126" s="9">
        <f t="shared" si="23"/>
        <v>0</v>
      </c>
      <c r="T126" s="40"/>
      <c r="U126" s="9">
        <f t="shared" si="23"/>
        <v>0</v>
      </c>
    </row>
  </sheetData>
  <sortState xmlns:xlrd2="http://schemas.microsoft.com/office/spreadsheetml/2017/richdata2" ref="C6:U62">
    <sortCondition descending="1" ref="T6:T62"/>
    <sortCondition descending="1" ref="U6:U62"/>
  </sortState>
  <mergeCells count="10">
    <mergeCell ref="J2:U2"/>
    <mergeCell ref="T3:U3"/>
    <mergeCell ref="D3:E3"/>
    <mergeCell ref="F3:G3"/>
    <mergeCell ref="H3:I3"/>
    <mergeCell ref="J3:K3"/>
    <mergeCell ref="L3:M3"/>
    <mergeCell ref="N3:O3"/>
    <mergeCell ref="P3:Q3"/>
    <mergeCell ref="R3:S3"/>
  </mergeCells>
  <conditionalFormatting sqref="C11:C50 C52:C54">
    <cfRule type="duplicateValues" dxfId="5" priority="4"/>
  </conditionalFormatting>
  <conditionalFormatting sqref="C51">
    <cfRule type="duplicateValues" dxfId="4" priority="2"/>
  </conditionalFormatting>
  <conditionalFormatting sqref="C60:C62">
    <cfRule type="duplicateValues" dxfId="3" priority="3"/>
  </conditionalFormatting>
  <conditionalFormatting sqref="C75:C76">
    <cfRule type="expression" dxfId="2" priority="5">
      <formula>MOD(ROW(),2)=0</formula>
    </cfRule>
    <cfRule type="expression" dxfId="1" priority="6">
      <formula>MOD(ROW(),2)=0</formula>
    </cfRule>
  </conditionalFormatting>
  <conditionalFormatting sqref="E126 G126 I126 K126 M126 O126 Q126 S126 U126">
    <cfRule type="cellIs" dxfId="0" priority="1" operator="notEqual">
      <formula>0</formula>
    </cfRule>
  </conditionalFormatting>
  <pageMargins left="0.7" right="0.7" top="0.75" bottom="0.75" header="0.3" footer="0.3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R1251"/>
  <sheetViews>
    <sheetView topLeftCell="A4" workbookViewId="0">
      <selection activeCell="U153" sqref="U153"/>
    </sheetView>
  </sheetViews>
  <sheetFormatPr defaultRowHeight="15"/>
  <cols>
    <col min="1" max="1" width="6" customWidth="1"/>
    <col min="2" max="11" width="6.7109375" style="7" customWidth="1"/>
    <col min="12" max="13" width="7" customWidth="1"/>
    <col min="14" max="18" width="0.140625" customWidth="1"/>
  </cols>
  <sheetData>
    <row r="2" spans="1:18">
      <c r="B2" s="7" t="str">
        <f>kopsavilkums!$J$2</f>
        <v>Dizšvētku Zolītes finālturnīrs Valkā 2026 (RONDO)</v>
      </c>
    </row>
    <row r="4" spans="1:18">
      <c r="G4" s="41" t="s">
        <v>62</v>
      </c>
      <c r="H4" s="43">
        <f>IF(kopsavilkums!$E$2="","",kopsavilkums!$E$2)</f>
        <v>8</v>
      </c>
    </row>
    <row r="6" spans="1:18">
      <c r="B6" s="110" t="str">
        <f>IF(N6="","",INDEX(kopsavilkums!$C$6:$C$125,N6))</f>
        <v>Liene Benhena</v>
      </c>
      <c r="C6" s="111"/>
      <c r="D6" s="110" t="str">
        <f>IF(O6="","",INDEX(kopsavilkums!$C$6:$C$125,O6))</f>
        <v>Ivars Prēdājs</v>
      </c>
      <c r="E6" s="111"/>
      <c r="F6" s="110" t="str">
        <f>IF(P6="","",INDEX(kopsavilkums!$C$6:$C$125,P6))</f>
        <v>Agris Ozoliņš</v>
      </c>
      <c r="G6" s="111"/>
      <c r="H6" s="110" t="str">
        <f>IF(Q6="","",INDEX(kopsavilkums!$C$6:$C$125,Q6))</f>
        <v>Āris Ozoliņš</v>
      </c>
      <c r="I6" s="111"/>
      <c r="J6" s="110" t="str">
        <f>IF(R6="","",INDEX(kopsavilkums!$C$6:$C$125,R6))</f>
        <v/>
      </c>
      <c r="K6" s="111"/>
      <c r="N6">
        <f>IF(1&gt;IF(1&lt;=(INT(kopsavilkums!$V$2/4)-MOD(kopsavilkums!$V$2,4)),4,IF(1&lt;=INT(kopsavilkums!$V$2/4),5,0)),"",IFERROR(MATCH((IF(1&lt;=(INT(kopsavilkums!$V$2/4)-MOD(kopsavilkums!$V$2,4)),(1-1)*4,(INT(kopsavilkums!$V$2/4)-MOD(kopsavilkums!$V$2,4))*4+(1-(INT(kopsavilkums!$V$2/4)-MOD(kopsavilkums!$V$2,4))-1)*5)+1),kopsavilkums!$X$6:$X$125,0),""))</f>
        <v>1</v>
      </c>
      <c r="O6">
        <f>IF(2&gt;IF(1&lt;=(INT(kopsavilkums!$V$2/4)-MOD(kopsavilkums!$V$2,4)),4,IF(1&lt;=INT(kopsavilkums!$V$2/4),5,0)),"",IFERROR(MATCH((IF(1&lt;=(INT(kopsavilkums!$V$2/4)-MOD(kopsavilkums!$V$2,4)),(1-1)*4,(INT(kopsavilkums!$V$2/4)-MOD(kopsavilkums!$V$2,4))*4+(1-(INT(kopsavilkums!$V$2/4)-MOD(kopsavilkums!$V$2,4))-1)*5)+2),kopsavilkums!$X$6:$X$125,0),""))</f>
        <v>2</v>
      </c>
      <c r="P6">
        <f>IF(3&gt;IF(1&lt;=(INT(kopsavilkums!$V$2/4)-MOD(kopsavilkums!$V$2,4)),4,IF(1&lt;=INT(kopsavilkums!$V$2/4),5,0)),"",IFERROR(MATCH((IF(1&lt;=(INT(kopsavilkums!$V$2/4)-MOD(kopsavilkums!$V$2,4)),(1-1)*4,(INT(kopsavilkums!$V$2/4)-MOD(kopsavilkums!$V$2,4))*4+(1-(INT(kopsavilkums!$V$2/4)-MOD(kopsavilkums!$V$2,4))-1)*5)+3),kopsavilkums!$X$6:$X$125,0),""))</f>
        <v>3</v>
      </c>
      <c r="Q6">
        <f>IF(4&gt;IF(1&lt;=(INT(kopsavilkums!$V$2/4)-MOD(kopsavilkums!$V$2,4)),4,IF(1&lt;=INT(kopsavilkums!$V$2/4),5,0)),"",IFERROR(MATCH((IF(1&lt;=(INT(kopsavilkums!$V$2/4)-MOD(kopsavilkums!$V$2,4)),(1-1)*4,(INT(kopsavilkums!$V$2/4)-MOD(kopsavilkums!$V$2,4))*4+(1-(INT(kopsavilkums!$V$2/4)-MOD(kopsavilkums!$V$2,4))-1)*5)+4),kopsavilkums!$X$6:$X$125,0),""))</f>
        <v>4</v>
      </c>
      <c r="R6" t="str">
        <f>IF(5&gt;IF(1&lt;=(INT(kopsavilkums!$V$2/4)-MOD(kopsavilkums!$V$2,4)),4,IF(1&lt;=INT(kopsavilkums!$V$2/4),5,0)),"",IFERROR(MATCH((IF(1&lt;=(INT(kopsavilkums!$V$2/4)-MOD(kopsavilkums!$V$2,4)),(1-1)*4,(INT(kopsavilkums!$V$2/4)-MOD(kopsavilkums!$V$2,4))*4+(1-(INT(kopsavilkums!$V$2/4)-MOD(kopsavilkums!$V$2,4))-1)*5)+5),kopsavilkums!$X$6:$X$125,0),""))</f>
        <v/>
      </c>
    </row>
    <row r="7" spans="1:18" ht="15.75">
      <c r="A7" s="4" t="s">
        <v>63</v>
      </c>
      <c r="B7" s="105">
        <f>IF(B6="","",1)</f>
        <v>1</v>
      </c>
      <c r="C7" s="105"/>
      <c r="D7" s="105">
        <f>IF(D6="","",1)</f>
        <v>1</v>
      </c>
      <c r="E7" s="105"/>
      <c r="F7" s="105">
        <f>IF(F6="","",1)</f>
        <v>1</v>
      </c>
      <c r="G7" s="105"/>
      <c r="H7" s="105">
        <f>IF(H6="","",1)</f>
        <v>1</v>
      </c>
      <c r="I7" s="105"/>
      <c r="J7" s="107" t="str">
        <f>IF(J6="","",1)</f>
        <v/>
      </c>
      <c r="K7" s="108"/>
    </row>
    <row r="8" spans="1:18" ht="15.75">
      <c r="A8" s="5" t="s">
        <v>64</v>
      </c>
      <c r="B8" s="8">
        <f>IF(N6="","",INDEX(kopsavilkums!$T$6:$T$125,N6))</f>
        <v>34</v>
      </c>
      <c r="C8" s="8">
        <f>IF(N6="","",INDEX(kopsavilkums!$U$6:$U$125,N6))</f>
        <v>101</v>
      </c>
      <c r="D8" s="8">
        <f>IF(O6="","",INDEX(kopsavilkums!$T$6:$T$125,O6))</f>
        <v>34</v>
      </c>
      <c r="E8" s="8">
        <f>IF(O6="","",INDEX(kopsavilkums!$U$6:$U$125,O6))</f>
        <v>63</v>
      </c>
      <c r="F8" s="8">
        <f>IF(P6="","",INDEX(kopsavilkums!$T$6:$T$125,P6))</f>
        <v>32</v>
      </c>
      <c r="G8" s="8">
        <f>IF(P6="","",INDEX(kopsavilkums!$U$6:$U$125,P6))</f>
        <v>90</v>
      </c>
      <c r="H8" s="8">
        <f>IF(Q6="","",INDEX(kopsavilkums!$T$6:$T$125,Q6))</f>
        <v>32</v>
      </c>
      <c r="I8" s="8">
        <f>IF(Q6="","",INDEX(kopsavilkums!$U$6:$U$125,Q6))</f>
        <v>70</v>
      </c>
      <c r="J8" s="8" t="str">
        <f>IF(R6="","",INDEX(kopsavilkums!$T$6:$T$125,R6))</f>
        <v/>
      </c>
      <c r="K8" s="8" t="str">
        <f>IF(R6="","",INDEX(kopsavilkums!$U$6:$U$125,R6))</f>
        <v/>
      </c>
    </row>
    <row r="9" spans="1:18">
      <c r="L9" s="17" t="s">
        <v>66</v>
      </c>
      <c r="M9" s="18"/>
      <c r="O9" s="45"/>
    </row>
    <row r="10" spans="1:18">
      <c r="M10" s="2"/>
    </row>
    <row r="11" spans="1:18" ht="18">
      <c r="A11" s="3">
        <v>1</v>
      </c>
      <c r="B11" s="102"/>
      <c r="C11" s="102"/>
      <c r="D11" s="102"/>
      <c r="E11" s="102"/>
      <c r="F11" s="102"/>
      <c r="G11" s="102"/>
      <c r="H11" s="102"/>
      <c r="I11" s="102"/>
      <c r="J11" s="99"/>
      <c r="K11" s="99"/>
      <c r="L11" s="46"/>
      <c r="M11" s="6"/>
    </row>
    <row r="12" spans="1:18" ht="18">
      <c r="A12" s="3">
        <v>2</v>
      </c>
      <c r="B12" s="102"/>
      <c r="C12" s="102"/>
      <c r="D12" s="102"/>
      <c r="E12" s="102"/>
      <c r="F12" s="102"/>
      <c r="G12" s="102"/>
      <c r="H12" s="102"/>
      <c r="I12" s="102"/>
      <c r="J12" s="99"/>
      <c r="K12" s="99"/>
      <c r="L12" s="46"/>
      <c r="M12" s="6"/>
    </row>
    <row r="13" spans="1:18" ht="18">
      <c r="A13" s="3">
        <v>3</v>
      </c>
      <c r="B13" s="102"/>
      <c r="C13" s="102"/>
      <c r="D13" s="102"/>
      <c r="E13" s="102"/>
      <c r="F13" s="102"/>
      <c r="G13" s="102"/>
      <c r="H13" s="102"/>
      <c r="I13" s="102"/>
      <c r="J13" s="99"/>
      <c r="K13" s="99"/>
      <c r="L13" s="46"/>
      <c r="M13" s="6"/>
    </row>
    <row r="14" spans="1:18" ht="18">
      <c r="A14" s="3">
        <v>4</v>
      </c>
      <c r="B14" s="102"/>
      <c r="C14" s="102"/>
      <c r="D14" s="102"/>
      <c r="E14" s="102"/>
      <c r="F14" s="102"/>
      <c r="G14" s="102"/>
      <c r="H14" s="102"/>
      <c r="I14" s="102"/>
      <c r="J14" s="99"/>
      <c r="K14" s="99"/>
      <c r="L14" s="46"/>
      <c r="M14" s="6"/>
    </row>
    <row r="15" spans="1:18" ht="18">
      <c r="A15" s="3">
        <v>5</v>
      </c>
      <c r="B15" s="102"/>
      <c r="C15" s="102"/>
      <c r="D15" s="102"/>
      <c r="E15" s="102"/>
      <c r="F15" s="102"/>
      <c r="G15" s="102"/>
      <c r="H15" s="102"/>
      <c r="I15" s="102"/>
      <c r="J15" s="99"/>
      <c r="K15" s="99"/>
      <c r="L15" s="46"/>
      <c r="M15" s="6"/>
    </row>
    <row r="16" spans="1:18" ht="18">
      <c r="A16" s="3">
        <v>6</v>
      </c>
      <c r="B16" s="102"/>
      <c r="C16" s="102"/>
      <c r="D16" s="102"/>
      <c r="E16" s="102"/>
      <c r="F16" s="102"/>
      <c r="G16" s="102"/>
      <c r="H16" s="102"/>
      <c r="I16" s="102"/>
      <c r="J16" s="99"/>
      <c r="K16" s="99"/>
      <c r="L16" s="46"/>
      <c r="M16" s="6"/>
    </row>
    <row r="17" spans="1:13" ht="18">
      <c r="A17" s="3">
        <v>7</v>
      </c>
      <c r="B17" s="102"/>
      <c r="C17" s="102"/>
      <c r="D17" s="102"/>
      <c r="E17" s="102"/>
      <c r="F17" s="102"/>
      <c r="G17" s="102"/>
      <c r="H17" s="102"/>
      <c r="I17" s="102"/>
      <c r="J17" s="99"/>
      <c r="K17" s="99"/>
      <c r="L17" s="46"/>
      <c r="M17" s="6"/>
    </row>
    <row r="18" spans="1:13" ht="18">
      <c r="A18" s="3">
        <v>8</v>
      </c>
      <c r="B18" s="102"/>
      <c r="C18" s="102"/>
      <c r="D18" s="102"/>
      <c r="E18" s="102"/>
      <c r="F18" s="102"/>
      <c r="G18" s="102"/>
      <c r="H18" s="102"/>
      <c r="I18" s="102"/>
      <c r="J18" s="99"/>
      <c r="K18" s="99"/>
      <c r="L18" s="46"/>
      <c r="M18" s="6"/>
    </row>
    <row r="19" spans="1:13" ht="18">
      <c r="A19" s="3">
        <v>9</v>
      </c>
      <c r="B19" s="102"/>
      <c r="C19" s="102"/>
      <c r="D19" s="102"/>
      <c r="E19" s="102"/>
      <c r="F19" s="102"/>
      <c r="G19" s="102"/>
      <c r="H19" s="102"/>
      <c r="I19" s="102"/>
      <c r="J19" s="99"/>
      <c r="K19" s="99"/>
      <c r="L19" s="46"/>
      <c r="M19" s="6"/>
    </row>
    <row r="20" spans="1:13" ht="18">
      <c r="A20" s="3">
        <v>10</v>
      </c>
      <c r="B20" s="102"/>
      <c r="C20" s="102"/>
      <c r="D20" s="102"/>
      <c r="E20" s="102"/>
      <c r="F20" s="102"/>
      <c r="G20" s="102"/>
      <c r="H20" s="102"/>
      <c r="I20" s="102"/>
      <c r="J20" s="99"/>
      <c r="K20" s="99"/>
      <c r="L20" s="46"/>
      <c r="M20" s="6"/>
    </row>
    <row r="21" spans="1:13" ht="18">
      <c r="A21" s="3">
        <v>11</v>
      </c>
      <c r="B21" s="102"/>
      <c r="C21" s="102"/>
      <c r="D21" s="102"/>
      <c r="E21" s="102"/>
      <c r="F21" s="102"/>
      <c r="G21" s="102"/>
      <c r="H21" s="102"/>
      <c r="I21" s="102"/>
      <c r="J21" s="99"/>
      <c r="K21" s="99"/>
      <c r="L21" s="46"/>
      <c r="M21" s="6"/>
    </row>
    <row r="22" spans="1:13" ht="18">
      <c r="A22" s="3">
        <v>12</v>
      </c>
      <c r="B22" s="102"/>
      <c r="C22" s="102"/>
      <c r="D22" s="102"/>
      <c r="E22" s="102"/>
      <c r="F22" s="102"/>
      <c r="G22" s="102"/>
      <c r="H22" s="102"/>
      <c r="I22" s="102"/>
      <c r="J22" s="99"/>
      <c r="K22" s="99"/>
      <c r="L22" s="46"/>
      <c r="M22" s="6"/>
    </row>
    <row r="23" spans="1:13" ht="18">
      <c r="A23" s="3">
        <v>13</v>
      </c>
      <c r="B23" s="102"/>
      <c r="C23" s="102"/>
      <c r="D23" s="102"/>
      <c r="E23" s="102"/>
      <c r="F23" s="102"/>
      <c r="G23" s="102"/>
      <c r="H23" s="102"/>
      <c r="I23" s="102"/>
      <c r="J23" s="99"/>
      <c r="K23" s="99"/>
      <c r="L23" s="46"/>
      <c r="M23" s="6"/>
    </row>
    <row r="24" spans="1:13" ht="18">
      <c r="A24" s="3">
        <v>14</v>
      </c>
      <c r="B24" s="102"/>
      <c r="C24" s="102"/>
      <c r="D24" s="102"/>
      <c r="E24" s="102"/>
      <c r="F24" s="102"/>
      <c r="G24" s="102"/>
      <c r="H24" s="102"/>
      <c r="I24" s="102"/>
      <c r="J24" s="99"/>
      <c r="K24" s="99"/>
      <c r="L24" s="46"/>
      <c r="M24" s="6"/>
    </row>
    <row r="25" spans="1:13" ht="18">
      <c r="A25" s="3">
        <v>15</v>
      </c>
      <c r="B25" s="102"/>
      <c r="C25" s="102"/>
      <c r="D25" s="102"/>
      <c r="E25" s="102"/>
      <c r="F25" s="102"/>
      <c r="G25" s="102"/>
      <c r="H25" s="102"/>
      <c r="I25" s="102"/>
      <c r="J25" s="99"/>
      <c r="K25" s="99"/>
      <c r="L25" s="46"/>
      <c r="M25" s="6"/>
    </row>
    <row r="26" spans="1:13" ht="18">
      <c r="A26" s="3">
        <v>16</v>
      </c>
      <c r="B26" s="102"/>
      <c r="C26" s="102"/>
      <c r="D26" s="102"/>
      <c r="E26" s="102"/>
      <c r="F26" s="102"/>
      <c r="G26" s="102"/>
      <c r="H26" s="102"/>
      <c r="I26" s="102"/>
      <c r="J26" s="99"/>
      <c r="K26" s="99"/>
      <c r="L26" s="46"/>
      <c r="M26" s="6"/>
    </row>
    <row r="27" spans="1:13" ht="18">
      <c r="A27" s="3">
        <v>17</v>
      </c>
      <c r="B27" s="102"/>
      <c r="C27" s="102"/>
      <c r="D27" s="102"/>
      <c r="E27" s="102"/>
      <c r="F27" s="102"/>
      <c r="G27" s="102"/>
      <c r="H27" s="102"/>
      <c r="I27" s="102"/>
      <c r="J27" s="99"/>
      <c r="K27" s="99"/>
      <c r="L27" s="46"/>
      <c r="M27" s="6"/>
    </row>
    <row r="28" spans="1:13" ht="18">
      <c r="A28" s="3">
        <v>18</v>
      </c>
      <c r="B28" s="102"/>
      <c r="C28" s="102"/>
      <c r="D28" s="102"/>
      <c r="E28" s="102"/>
      <c r="F28" s="102"/>
      <c r="G28" s="102"/>
      <c r="H28" s="102"/>
      <c r="I28" s="102"/>
      <c r="J28" s="99"/>
      <c r="K28" s="99"/>
      <c r="L28" s="46"/>
      <c r="M28" s="6"/>
    </row>
    <row r="29" spans="1:13" ht="18">
      <c r="A29" s="3">
        <v>19</v>
      </c>
      <c r="B29" s="102"/>
      <c r="C29" s="102"/>
      <c r="D29" s="102"/>
      <c r="E29" s="102"/>
      <c r="F29" s="102"/>
      <c r="G29" s="102"/>
      <c r="H29" s="102"/>
      <c r="I29" s="102"/>
      <c r="J29" s="99"/>
      <c r="K29" s="99"/>
      <c r="L29" s="46"/>
      <c r="M29" s="6"/>
    </row>
    <row r="30" spans="1:13" ht="18">
      <c r="A30" s="3">
        <v>20</v>
      </c>
      <c r="B30" s="102"/>
      <c r="C30" s="102"/>
      <c r="D30" s="102"/>
      <c r="E30" s="102"/>
      <c r="F30" s="102"/>
      <c r="G30" s="102"/>
      <c r="H30" s="102"/>
      <c r="I30" s="102"/>
      <c r="J30" s="99"/>
      <c r="K30" s="99"/>
      <c r="L30" s="46"/>
      <c r="M30" s="6"/>
    </row>
    <row r="31" spans="1:13" ht="18">
      <c r="A31" s="3">
        <v>21</v>
      </c>
      <c r="B31" s="102"/>
      <c r="C31" s="102"/>
      <c r="D31" s="102"/>
      <c r="E31" s="102"/>
      <c r="F31" s="102"/>
      <c r="G31" s="102"/>
      <c r="H31" s="102"/>
      <c r="I31" s="102"/>
      <c r="J31" s="99"/>
      <c r="K31" s="99"/>
      <c r="L31" s="46"/>
      <c r="M31" s="6"/>
    </row>
    <row r="32" spans="1:13" ht="18">
      <c r="A32" s="3">
        <v>22</v>
      </c>
      <c r="B32" s="102"/>
      <c r="C32" s="102"/>
      <c r="D32" s="102"/>
      <c r="E32" s="102"/>
      <c r="F32" s="102"/>
      <c r="G32" s="102"/>
      <c r="H32" s="102"/>
      <c r="I32" s="102"/>
      <c r="J32" s="99"/>
      <c r="K32" s="99"/>
      <c r="L32" s="46"/>
      <c r="M32" s="6"/>
    </row>
    <row r="33" spans="1:18" ht="18">
      <c r="A33" s="3">
        <v>23</v>
      </c>
      <c r="B33" s="102"/>
      <c r="C33" s="102"/>
      <c r="D33" s="102"/>
      <c r="E33" s="102"/>
      <c r="F33" s="102"/>
      <c r="G33" s="102"/>
      <c r="H33" s="102"/>
      <c r="I33" s="102"/>
      <c r="J33" s="99"/>
      <c r="K33" s="99"/>
      <c r="L33" s="46"/>
      <c r="M33" s="6"/>
    </row>
    <row r="34" spans="1:18" ht="18">
      <c r="A34" s="3">
        <v>24</v>
      </c>
      <c r="B34" s="102"/>
      <c r="C34" s="102"/>
      <c r="D34" s="102"/>
      <c r="E34" s="102"/>
      <c r="F34" s="102"/>
      <c r="G34" s="102"/>
      <c r="H34" s="102"/>
      <c r="I34" s="102"/>
      <c r="J34" s="99"/>
      <c r="K34" s="99"/>
      <c r="L34" s="46"/>
      <c r="M34" s="6"/>
    </row>
    <row r="35" spans="1:18" ht="18">
      <c r="A35" s="3">
        <v>25</v>
      </c>
      <c r="B35" s="102"/>
      <c r="C35" s="102"/>
      <c r="D35" s="102"/>
      <c r="E35" s="102"/>
      <c r="F35" s="102"/>
      <c r="G35" s="102"/>
      <c r="H35" s="102"/>
      <c r="I35" s="102"/>
      <c r="J35" s="99"/>
      <c r="K35" s="99"/>
      <c r="L35" s="46"/>
      <c r="M35" s="6"/>
    </row>
    <row r="36" spans="1:18" ht="18">
      <c r="A36" s="3">
        <v>26</v>
      </c>
      <c r="B36" s="102"/>
      <c r="C36" s="102"/>
      <c r="D36" s="102"/>
      <c r="E36" s="102"/>
      <c r="F36" s="102"/>
      <c r="G36" s="102"/>
      <c r="H36" s="102"/>
      <c r="I36" s="102"/>
      <c r="J36" s="99"/>
      <c r="K36" s="99"/>
      <c r="L36" s="46"/>
      <c r="M36" s="6"/>
    </row>
    <row r="37" spans="1:18" ht="18">
      <c r="A37" s="3">
        <v>27</v>
      </c>
      <c r="B37" s="102"/>
      <c r="C37" s="102"/>
      <c r="D37" s="102"/>
      <c r="E37" s="102"/>
      <c r="F37" s="102"/>
      <c r="G37" s="102"/>
      <c r="H37" s="102"/>
      <c r="I37" s="102"/>
      <c r="J37" s="99"/>
      <c r="K37" s="99"/>
      <c r="L37" s="46"/>
      <c r="M37" s="6"/>
    </row>
    <row r="38" spans="1:18" ht="18">
      <c r="A38" s="3">
        <v>28</v>
      </c>
      <c r="B38" s="102"/>
      <c r="C38" s="102"/>
      <c r="D38" s="102"/>
      <c r="E38" s="102"/>
      <c r="F38" s="102"/>
      <c r="G38" s="102"/>
      <c r="H38" s="102"/>
      <c r="I38" s="102"/>
      <c r="J38" s="99"/>
      <c r="K38" s="99"/>
      <c r="L38" s="46"/>
      <c r="M38" s="6"/>
      <c r="P38" s="47"/>
    </row>
    <row r="39" spans="1:18">
      <c r="B39" s="102"/>
      <c r="C39" s="102"/>
      <c r="D39" s="102"/>
      <c r="E39" s="102"/>
      <c r="F39" s="102"/>
      <c r="G39" s="102"/>
      <c r="H39" s="102"/>
      <c r="I39" s="102"/>
      <c r="J39" s="99"/>
      <c r="K39" s="99"/>
      <c r="L39" s="46"/>
      <c r="M39" s="6"/>
    </row>
    <row r="40" spans="1:18">
      <c r="B40" s="97"/>
      <c r="C40" s="98"/>
      <c r="D40" s="97"/>
      <c r="E40" s="98"/>
      <c r="F40" s="97"/>
      <c r="G40" s="98"/>
      <c r="H40" s="97"/>
      <c r="I40" s="98"/>
      <c r="J40" s="99"/>
      <c r="K40" s="99"/>
      <c r="L40" s="46"/>
      <c r="M40" s="6"/>
    </row>
    <row r="41" spans="1:18">
      <c r="B41" s="93"/>
      <c r="C41" s="94"/>
      <c r="D41" s="93"/>
      <c r="E41" s="94"/>
      <c r="F41" s="93"/>
      <c r="G41" s="94"/>
      <c r="H41" s="93"/>
      <c r="I41" s="94"/>
      <c r="J41" s="95"/>
      <c r="K41" s="96"/>
      <c r="L41" s="46"/>
      <c r="M41" s="6"/>
    </row>
    <row r="42" spans="1:18">
      <c r="M42" s="6"/>
    </row>
    <row r="43" spans="1:18">
      <c r="B43" s="7" t="str">
        <f>kopsavilkums!$J$2</f>
        <v>Dizšvētku Zolītes finālturnīrs Valkā 2026 (RONDO)</v>
      </c>
    </row>
    <row r="45" spans="1:18">
      <c r="G45" s="41" t="s">
        <v>62</v>
      </c>
      <c r="H45" s="43">
        <f>IF(kopsavilkums!$E$2="","",kopsavilkums!$E$2)</f>
        <v>8</v>
      </c>
    </row>
    <row r="47" spans="1:18">
      <c r="B47" s="110" t="str">
        <f>IF(N47="","",INDEX(kopsavilkums!$C$6:$C$125,N47))</f>
        <v>Egīls Baltcers</v>
      </c>
      <c r="C47" s="111"/>
      <c r="D47" s="110" t="str">
        <f>IF(O47="","",INDEX(kopsavilkums!$C$6:$C$125,O47))</f>
        <v>Edgars Auders</v>
      </c>
      <c r="E47" s="111"/>
      <c r="F47" s="110" t="str">
        <f>IF(P47="","",INDEX(kopsavilkums!$C$6:$C$125,P47))</f>
        <v>Mareks Zeile</v>
      </c>
      <c r="G47" s="111"/>
      <c r="H47" s="110" t="str">
        <f>IF(Q47="","",INDEX(kopsavilkums!$C$6:$C$125,Q47))</f>
        <v>Valdis Ozoliņš</v>
      </c>
      <c r="I47" s="111"/>
      <c r="J47" s="110" t="str">
        <f>IF(R47="","",INDEX(kopsavilkums!$C$6:$C$125,R47))</f>
        <v/>
      </c>
      <c r="K47" s="111"/>
      <c r="N47">
        <f>IF(1&gt;IF(2&lt;=(INT(kopsavilkums!$V$2/4)-MOD(kopsavilkums!$V$2,4)),4,IF(2&lt;=INT(kopsavilkums!$V$2/4),5,0)),"",IFERROR(MATCH((IF(2&lt;=(INT(kopsavilkums!$V$2/4)-MOD(kopsavilkums!$V$2,4)),(2-1)*4,(INT(kopsavilkums!$V$2/4)-MOD(kopsavilkums!$V$2,4))*4+(2-(INT(kopsavilkums!$V$2/4)-MOD(kopsavilkums!$V$2,4))-1)*5)+1),kopsavilkums!$X$6:$X$125,0),""))</f>
        <v>5</v>
      </c>
      <c r="O47">
        <f>IF(2&gt;IF(2&lt;=(INT(kopsavilkums!$V$2/4)-MOD(kopsavilkums!$V$2,4)),4,IF(2&lt;=INT(kopsavilkums!$V$2/4),5,0)),"",IFERROR(MATCH((IF(2&lt;=(INT(kopsavilkums!$V$2/4)-MOD(kopsavilkums!$V$2,4)),(2-1)*4,(INT(kopsavilkums!$V$2/4)-MOD(kopsavilkums!$V$2,4))*4+(2-(INT(kopsavilkums!$V$2/4)-MOD(kopsavilkums!$V$2,4))-1)*5)+2),kopsavilkums!$X$6:$X$125,0),""))</f>
        <v>6</v>
      </c>
      <c r="P47">
        <f>IF(3&gt;IF(2&lt;=(INT(kopsavilkums!$V$2/4)-MOD(kopsavilkums!$V$2,4)),4,IF(2&lt;=INT(kopsavilkums!$V$2/4),5,0)),"",IFERROR(MATCH((IF(2&lt;=(INT(kopsavilkums!$V$2/4)-MOD(kopsavilkums!$V$2,4)),(2-1)*4,(INT(kopsavilkums!$V$2/4)-MOD(kopsavilkums!$V$2,4))*4+(2-(INT(kopsavilkums!$V$2/4)-MOD(kopsavilkums!$V$2,4))-1)*5)+3),kopsavilkums!$X$6:$X$125,0),""))</f>
        <v>7</v>
      </c>
      <c r="Q47">
        <f>IF(4&gt;IF(2&lt;=(INT(kopsavilkums!$V$2/4)-MOD(kopsavilkums!$V$2,4)),4,IF(2&lt;=INT(kopsavilkums!$V$2/4),5,0)),"",IFERROR(MATCH((IF(2&lt;=(INT(kopsavilkums!$V$2/4)-MOD(kopsavilkums!$V$2,4)),(2-1)*4,(INT(kopsavilkums!$V$2/4)-MOD(kopsavilkums!$V$2,4))*4+(2-(INT(kopsavilkums!$V$2/4)-MOD(kopsavilkums!$V$2,4))-1)*5)+4),kopsavilkums!$X$6:$X$125,0),""))</f>
        <v>8</v>
      </c>
      <c r="R47" t="str">
        <f>IF(5&gt;IF(2&lt;=(INT(kopsavilkums!$V$2/4)-MOD(kopsavilkums!$V$2,4)),4,IF(2&lt;=INT(kopsavilkums!$V$2/4),5,0)),"",IFERROR(MATCH((IF(2&lt;=(INT(kopsavilkums!$V$2/4)-MOD(kopsavilkums!$V$2,4)),(2-1)*4,(INT(kopsavilkums!$V$2/4)-MOD(kopsavilkums!$V$2,4))*4+(2-(INT(kopsavilkums!$V$2/4)-MOD(kopsavilkums!$V$2,4))-1)*5)+5),kopsavilkums!$X$6:$X$125,0),""))</f>
        <v/>
      </c>
    </row>
    <row r="48" spans="1:18" ht="15.75">
      <c r="A48" s="4" t="s">
        <v>63</v>
      </c>
      <c r="B48" s="105">
        <f>IF(B47="","",2)</f>
        <v>2</v>
      </c>
      <c r="C48" s="105"/>
      <c r="D48" s="105">
        <f>IF(D47="","",2)</f>
        <v>2</v>
      </c>
      <c r="E48" s="105"/>
      <c r="F48" s="105">
        <f>IF(F47="","",2)</f>
        <v>2</v>
      </c>
      <c r="G48" s="105"/>
      <c r="H48" s="105">
        <f>IF(H47="","",2)</f>
        <v>2</v>
      </c>
      <c r="I48" s="105"/>
      <c r="J48" s="107" t="str">
        <f>IF(J47="","",2)</f>
        <v/>
      </c>
      <c r="K48" s="108"/>
    </row>
    <row r="49" spans="1:13" ht="15.75">
      <c r="A49" s="5" t="s">
        <v>64</v>
      </c>
      <c r="B49" s="8">
        <f>IF(N47="","",INDEX(kopsavilkums!$T$6:$T$125,N47))</f>
        <v>30</v>
      </c>
      <c r="C49" s="8">
        <f>IF(N47="","",INDEX(kopsavilkums!$U$6:$U$125,N47))</f>
        <v>56</v>
      </c>
      <c r="D49" s="8">
        <f>IF(O47="","",INDEX(kopsavilkums!$T$6:$T$125,O47))</f>
        <v>30</v>
      </c>
      <c r="E49" s="8">
        <f>IF(O47="","",INDEX(kopsavilkums!$U$6:$U$125,O47))</f>
        <v>24</v>
      </c>
      <c r="F49" s="8">
        <f>IF(P47="","",INDEX(kopsavilkums!$T$6:$T$125,P47))</f>
        <v>28</v>
      </c>
      <c r="G49" s="8">
        <f>IF(P47="","",INDEX(kopsavilkums!$U$6:$U$125,P47))</f>
        <v>76</v>
      </c>
      <c r="H49" s="8">
        <f>IF(Q47="","",INDEX(kopsavilkums!$T$6:$T$125,Q47))</f>
        <v>28</v>
      </c>
      <c r="I49" s="8">
        <f>IF(Q47="","",INDEX(kopsavilkums!$U$6:$U$125,Q47))</f>
        <v>4</v>
      </c>
      <c r="J49" s="8" t="str">
        <f>IF(R47="","",INDEX(kopsavilkums!$T$6:$T$125,R47))</f>
        <v/>
      </c>
      <c r="K49" s="8" t="str">
        <f>IF(R47="","",INDEX(kopsavilkums!$U$6:$U$125,R47))</f>
        <v/>
      </c>
    </row>
    <row r="50" spans="1:13">
      <c r="L50" s="17" t="s">
        <v>66</v>
      </c>
      <c r="M50" s="18"/>
    </row>
    <row r="51" spans="1:13">
      <c r="M51" s="2"/>
    </row>
    <row r="52" spans="1:13" ht="18">
      <c r="A52" s="3">
        <v>1</v>
      </c>
      <c r="B52" s="102"/>
      <c r="C52" s="102"/>
      <c r="D52" s="102"/>
      <c r="E52" s="102"/>
      <c r="F52" s="102"/>
      <c r="G52" s="102"/>
      <c r="H52" s="102"/>
      <c r="I52" s="102"/>
      <c r="J52" s="99"/>
      <c r="K52" s="99"/>
      <c r="L52" s="46"/>
      <c r="M52" s="6"/>
    </row>
    <row r="53" spans="1:13" ht="18">
      <c r="A53" s="3">
        <v>2</v>
      </c>
      <c r="B53" s="102"/>
      <c r="C53" s="102"/>
      <c r="D53" s="102"/>
      <c r="E53" s="102"/>
      <c r="F53" s="102"/>
      <c r="G53" s="102"/>
      <c r="H53" s="102"/>
      <c r="I53" s="102"/>
      <c r="J53" s="99"/>
      <c r="K53" s="99"/>
      <c r="L53" s="46"/>
      <c r="M53" s="6"/>
    </row>
    <row r="54" spans="1:13" ht="18">
      <c r="A54" s="3">
        <v>3</v>
      </c>
      <c r="B54" s="102"/>
      <c r="C54" s="102"/>
      <c r="D54" s="102"/>
      <c r="E54" s="102"/>
      <c r="F54" s="102"/>
      <c r="G54" s="102"/>
      <c r="H54" s="102"/>
      <c r="I54" s="102"/>
      <c r="J54" s="99"/>
      <c r="K54" s="99"/>
      <c r="L54" s="46"/>
      <c r="M54" s="6"/>
    </row>
    <row r="55" spans="1:13" ht="18">
      <c r="A55" s="3">
        <v>4</v>
      </c>
      <c r="B55" s="102"/>
      <c r="C55" s="102"/>
      <c r="D55" s="102"/>
      <c r="E55" s="102"/>
      <c r="F55" s="102"/>
      <c r="G55" s="102"/>
      <c r="H55" s="102"/>
      <c r="I55" s="102"/>
      <c r="J55" s="99"/>
      <c r="K55" s="99"/>
      <c r="L55" s="46"/>
      <c r="M55" s="6"/>
    </row>
    <row r="56" spans="1:13" ht="18">
      <c r="A56" s="3">
        <v>5</v>
      </c>
      <c r="B56" s="102"/>
      <c r="C56" s="102"/>
      <c r="D56" s="102"/>
      <c r="E56" s="102"/>
      <c r="F56" s="102"/>
      <c r="G56" s="102"/>
      <c r="H56" s="102"/>
      <c r="I56" s="102"/>
      <c r="J56" s="99"/>
      <c r="K56" s="99"/>
      <c r="L56" s="46"/>
      <c r="M56" s="6"/>
    </row>
    <row r="57" spans="1:13" ht="18">
      <c r="A57" s="3">
        <v>6</v>
      </c>
      <c r="B57" s="102"/>
      <c r="C57" s="102"/>
      <c r="D57" s="102"/>
      <c r="E57" s="102"/>
      <c r="F57" s="102"/>
      <c r="G57" s="102"/>
      <c r="H57" s="102"/>
      <c r="I57" s="102"/>
      <c r="J57" s="99"/>
      <c r="K57" s="99"/>
      <c r="L57" s="46"/>
      <c r="M57" s="6"/>
    </row>
    <row r="58" spans="1:13" ht="18">
      <c r="A58" s="3">
        <v>7</v>
      </c>
      <c r="B58" s="102"/>
      <c r="C58" s="102"/>
      <c r="D58" s="102"/>
      <c r="E58" s="102"/>
      <c r="F58" s="102"/>
      <c r="G58" s="102"/>
      <c r="H58" s="102"/>
      <c r="I58" s="102"/>
      <c r="J58" s="99"/>
      <c r="K58" s="99"/>
      <c r="L58" s="46"/>
      <c r="M58" s="6"/>
    </row>
    <row r="59" spans="1:13" ht="18">
      <c r="A59" s="3">
        <v>8</v>
      </c>
      <c r="B59" s="102"/>
      <c r="C59" s="102"/>
      <c r="D59" s="102"/>
      <c r="E59" s="102"/>
      <c r="F59" s="102"/>
      <c r="G59" s="102"/>
      <c r="H59" s="102"/>
      <c r="I59" s="102"/>
      <c r="J59" s="99"/>
      <c r="K59" s="99"/>
      <c r="L59" s="46"/>
      <c r="M59" s="6"/>
    </row>
    <row r="60" spans="1:13" ht="18">
      <c r="A60" s="3">
        <v>9</v>
      </c>
      <c r="B60" s="102"/>
      <c r="C60" s="102"/>
      <c r="D60" s="102"/>
      <c r="E60" s="102"/>
      <c r="F60" s="102"/>
      <c r="G60" s="102"/>
      <c r="H60" s="102"/>
      <c r="I60" s="102"/>
      <c r="J60" s="99"/>
      <c r="K60" s="99"/>
      <c r="L60" s="46"/>
      <c r="M60" s="6"/>
    </row>
    <row r="61" spans="1:13" ht="18">
      <c r="A61" s="3">
        <v>10</v>
      </c>
      <c r="B61" s="102"/>
      <c r="C61" s="102"/>
      <c r="D61" s="102"/>
      <c r="E61" s="102"/>
      <c r="F61" s="102"/>
      <c r="G61" s="102"/>
      <c r="H61" s="102"/>
      <c r="I61" s="102"/>
      <c r="J61" s="99"/>
      <c r="K61" s="99"/>
      <c r="L61" s="46"/>
      <c r="M61" s="6"/>
    </row>
    <row r="62" spans="1:13" ht="18">
      <c r="A62" s="3">
        <v>11</v>
      </c>
      <c r="B62" s="102"/>
      <c r="C62" s="102"/>
      <c r="D62" s="102"/>
      <c r="E62" s="102"/>
      <c r="F62" s="102"/>
      <c r="G62" s="102"/>
      <c r="H62" s="102"/>
      <c r="I62" s="102"/>
      <c r="J62" s="99"/>
      <c r="K62" s="99"/>
      <c r="L62" s="46"/>
      <c r="M62" s="6"/>
    </row>
    <row r="63" spans="1:13" ht="18">
      <c r="A63" s="3">
        <v>12</v>
      </c>
      <c r="B63" s="102"/>
      <c r="C63" s="102"/>
      <c r="D63" s="102"/>
      <c r="E63" s="102"/>
      <c r="F63" s="102"/>
      <c r="G63" s="102"/>
      <c r="H63" s="102"/>
      <c r="I63" s="102"/>
      <c r="J63" s="99"/>
      <c r="K63" s="99"/>
      <c r="L63" s="46"/>
      <c r="M63" s="6"/>
    </row>
    <row r="64" spans="1:13" ht="18">
      <c r="A64" s="3">
        <v>13</v>
      </c>
      <c r="B64" s="102"/>
      <c r="C64" s="102"/>
      <c r="D64" s="102"/>
      <c r="E64" s="102"/>
      <c r="F64" s="102"/>
      <c r="G64" s="102"/>
      <c r="H64" s="102"/>
      <c r="I64" s="102"/>
      <c r="J64" s="99"/>
      <c r="K64" s="99"/>
      <c r="L64" s="46"/>
      <c r="M64" s="6"/>
    </row>
    <row r="65" spans="1:13" ht="18">
      <c r="A65" s="3">
        <v>14</v>
      </c>
      <c r="B65" s="102"/>
      <c r="C65" s="102"/>
      <c r="D65" s="102"/>
      <c r="E65" s="102"/>
      <c r="F65" s="102"/>
      <c r="G65" s="102"/>
      <c r="H65" s="102"/>
      <c r="I65" s="102"/>
      <c r="J65" s="99"/>
      <c r="K65" s="99"/>
      <c r="L65" s="46"/>
      <c r="M65" s="6"/>
    </row>
    <row r="66" spans="1:13" ht="18">
      <c r="A66" s="3">
        <v>15</v>
      </c>
      <c r="B66" s="102"/>
      <c r="C66" s="102"/>
      <c r="D66" s="102"/>
      <c r="E66" s="102"/>
      <c r="F66" s="102"/>
      <c r="G66" s="102"/>
      <c r="H66" s="102"/>
      <c r="I66" s="102"/>
      <c r="J66" s="99"/>
      <c r="K66" s="99"/>
      <c r="L66" s="46"/>
      <c r="M66" s="6"/>
    </row>
    <row r="67" spans="1:13" ht="18">
      <c r="A67" s="3">
        <v>16</v>
      </c>
      <c r="B67" s="102"/>
      <c r="C67" s="102"/>
      <c r="D67" s="102"/>
      <c r="E67" s="102"/>
      <c r="F67" s="102"/>
      <c r="G67" s="102"/>
      <c r="H67" s="102"/>
      <c r="I67" s="102"/>
      <c r="J67" s="99"/>
      <c r="K67" s="99"/>
      <c r="L67" s="46"/>
      <c r="M67" s="6"/>
    </row>
    <row r="68" spans="1:13" ht="18">
      <c r="A68" s="3">
        <v>17</v>
      </c>
      <c r="B68" s="102"/>
      <c r="C68" s="102"/>
      <c r="D68" s="102"/>
      <c r="E68" s="102"/>
      <c r="F68" s="102"/>
      <c r="G68" s="102"/>
      <c r="H68" s="102"/>
      <c r="I68" s="102"/>
      <c r="J68" s="99"/>
      <c r="K68" s="99"/>
      <c r="L68" s="46"/>
      <c r="M68" s="6"/>
    </row>
    <row r="69" spans="1:13" ht="18">
      <c r="A69" s="3">
        <v>18</v>
      </c>
      <c r="B69" s="102"/>
      <c r="C69" s="102"/>
      <c r="D69" s="102"/>
      <c r="E69" s="102"/>
      <c r="F69" s="102"/>
      <c r="G69" s="102"/>
      <c r="H69" s="102"/>
      <c r="I69" s="102"/>
      <c r="J69" s="99"/>
      <c r="K69" s="99"/>
      <c r="L69" s="46"/>
      <c r="M69" s="6"/>
    </row>
    <row r="70" spans="1:13" ht="18">
      <c r="A70" s="3">
        <v>19</v>
      </c>
      <c r="B70" s="102"/>
      <c r="C70" s="102"/>
      <c r="D70" s="102"/>
      <c r="E70" s="102"/>
      <c r="F70" s="102"/>
      <c r="G70" s="102"/>
      <c r="H70" s="102"/>
      <c r="I70" s="102"/>
      <c r="J70" s="99"/>
      <c r="K70" s="99"/>
      <c r="L70" s="46"/>
      <c r="M70" s="6"/>
    </row>
    <row r="71" spans="1:13" ht="18">
      <c r="A71" s="3">
        <v>20</v>
      </c>
      <c r="B71" s="102"/>
      <c r="C71" s="102"/>
      <c r="D71" s="102"/>
      <c r="E71" s="102"/>
      <c r="F71" s="102"/>
      <c r="G71" s="102"/>
      <c r="H71" s="102"/>
      <c r="I71" s="102"/>
      <c r="J71" s="99"/>
      <c r="K71" s="99"/>
      <c r="L71" s="46"/>
      <c r="M71" s="6"/>
    </row>
    <row r="72" spans="1:13" ht="18">
      <c r="A72" s="3">
        <v>21</v>
      </c>
      <c r="B72" s="102"/>
      <c r="C72" s="102"/>
      <c r="D72" s="102"/>
      <c r="E72" s="102"/>
      <c r="F72" s="102"/>
      <c r="G72" s="102"/>
      <c r="H72" s="102"/>
      <c r="I72" s="102"/>
      <c r="J72" s="99"/>
      <c r="K72" s="99"/>
      <c r="L72" s="46"/>
      <c r="M72" s="6"/>
    </row>
    <row r="73" spans="1:13" ht="18">
      <c r="A73" s="3">
        <v>22</v>
      </c>
      <c r="B73" s="102"/>
      <c r="C73" s="102"/>
      <c r="D73" s="102"/>
      <c r="E73" s="102"/>
      <c r="F73" s="102"/>
      <c r="G73" s="102"/>
      <c r="H73" s="102"/>
      <c r="I73" s="102"/>
      <c r="J73" s="99"/>
      <c r="K73" s="99"/>
      <c r="L73" s="46"/>
      <c r="M73" s="6"/>
    </row>
    <row r="74" spans="1:13" ht="18">
      <c r="A74" s="3">
        <v>23</v>
      </c>
      <c r="B74" s="102"/>
      <c r="C74" s="102"/>
      <c r="D74" s="102"/>
      <c r="E74" s="102"/>
      <c r="F74" s="102"/>
      <c r="G74" s="102"/>
      <c r="H74" s="102"/>
      <c r="I74" s="102"/>
      <c r="J74" s="99"/>
      <c r="K74" s="99"/>
      <c r="L74" s="46"/>
      <c r="M74" s="6"/>
    </row>
    <row r="75" spans="1:13" ht="18">
      <c r="A75" s="3">
        <v>24</v>
      </c>
      <c r="B75" s="102"/>
      <c r="C75" s="102"/>
      <c r="D75" s="102"/>
      <c r="E75" s="102"/>
      <c r="F75" s="102"/>
      <c r="G75" s="102"/>
      <c r="H75" s="102"/>
      <c r="I75" s="102"/>
      <c r="J75" s="99"/>
      <c r="K75" s="99"/>
      <c r="L75" s="46"/>
      <c r="M75" s="6"/>
    </row>
    <row r="76" spans="1:13" ht="18">
      <c r="A76" s="3">
        <v>25</v>
      </c>
      <c r="B76" s="102"/>
      <c r="C76" s="102"/>
      <c r="D76" s="102"/>
      <c r="E76" s="102"/>
      <c r="F76" s="102"/>
      <c r="G76" s="102"/>
      <c r="H76" s="102"/>
      <c r="I76" s="102"/>
      <c r="J76" s="99"/>
      <c r="K76" s="99"/>
      <c r="L76" s="46"/>
      <c r="M76" s="6"/>
    </row>
    <row r="77" spans="1:13" ht="18">
      <c r="A77" s="3">
        <v>26</v>
      </c>
      <c r="B77" s="102"/>
      <c r="C77" s="102"/>
      <c r="D77" s="102"/>
      <c r="E77" s="102"/>
      <c r="F77" s="102"/>
      <c r="G77" s="102"/>
      <c r="H77" s="102"/>
      <c r="I77" s="102"/>
      <c r="J77" s="99"/>
      <c r="K77" s="99"/>
      <c r="L77" s="46"/>
      <c r="M77" s="6"/>
    </row>
    <row r="78" spans="1:13" ht="18">
      <c r="A78" s="3">
        <v>27</v>
      </c>
      <c r="B78" s="102"/>
      <c r="C78" s="102"/>
      <c r="D78" s="102"/>
      <c r="E78" s="102"/>
      <c r="F78" s="102"/>
      <c r="G78" s="102"/>
      <c r="H78" s="102"/>
      <c r="I78" s="102"/>
      <c r="J78" s="99"/>
      <c r="K78" s="99"/>
      <c r="L78" s="46"/>
      <c r="M78" s="6"/>
    </row>
    <row r="79" spans="1:13" ht="18">
      <c r="A79" s="3">
        <v>28</v>
      </c>
      <c r="B79" s="102"/>
      <c r="C79" s="102"/>
      <c r="D79" s="102"/>
      <c r="E79" s="102"/>
      <c r="F79" s="102"/>
      <c r="G79" s="102"/>
      <c r="H79" s="102"/>
      <c r="I79" s="102"/>
      <c r="J79" s="99"/>
      <c r="K79" s="99"/>
      <c r="L79" s="46"/>
      <c r="M79" s="6"/>
    </row>
    <row r="80" spans="1:13">
      <c r="B80" s="102"/>
      <c r="C80" s="102"/>
      <c r="D80" s="102"/>
      <c r="E80" s="102"/>
      <c r="F80" s="102"/>
      <c r="G80" s="102"/>
      <c r="H80" s="102"/>
      <c r="I80" s="102"/>
      <c r="J80" s="99"/>
      <c r="K80" s="99"/>
      <c r="L80" s="46"/>
      <c r="M80" s="6"/>
    </row>
    <row r="81" spans="1:18">
      <c r="B81" s="97"/>
      <c r="C81" s="98"/>
      <c r="D81" s="97"/>
      <c r="E81" s="98"/>
      <c r="F81" s="97"/>
      <c r="G81" s="98"/>
      <c r="H81" s="97"/>
      <c r="I81" s="98"/>
      <c r="J81" s="99"/>
      <c r="K81" s="99"/>
      <c r="L81" s="46"/>
      <c r="M81" s="6"/>
    </row>
    <row r="82" spans="1:18">
      <c r="B82" s="93"/>
      <c r="C82" s="94"/>
      <c r="D82" s="93"/>
      <c r="E82" s="94"/>
      <c r="F82" s="93"/>
      <c r="G82" s="94"/>
      <c r="H82" s="93"/>
      <c r="I82" s="94"/>
      <c r="J82" s="95"/>
      <c r="K82" s="96"/>
      <c r="L82" s="46"/>
      <c r="M82" s="6"/>
    </row>
    <row r="83" spans="1:18">
      <c r="M83" s="6"/>
    </row>
    <row r="84" spans="1:18">
      <c r="B84" s="7" t="str">
        <f>kopsavilkums!$J$2</f>
        <v>Dizšvētku Zolītes finālturnīrs Valkā 2026 (RONDO)</v>
      </c>
    </row>
    <row r="86" spans="1:18">
      <c r="G86" s="41" t="s">
        <v>62</v>
      </c>
      <c r="H86" s="43">
        <f>IF(kopsavilkums!$E$2="","",kopsavilkums!$E$2)</f>
        <v>8</v>
      </c>
    </row>
    <row r="88" spans="1:18">
      <c r="B88" s="110" t="str">
        <f>IF(N88="","",INDEX(kopsavilkums!$C$6:$C$125,N88))</f>
        <v>Māris Gornostejs</v>
      </c>
      <c r="C88" s="111"/>
      <c r="D88" s="110" t="str">
        <f>IF(O88="","",INDEX(kopsavilkums!$C$6:$C$125,O88))</f>
        <v>Juris Dreimanis</v>
      </c>
      <c r="E88" s="111"/>
      <c r="F88" s="110" t="str">
        <f>IF(P88="","",INDEX(kopsavilkums!$C$6:$C$125,P88))</f>
        <v>Linards Ruņģis</v>
      </c>
      <c r="G88" s="111"/>
      <c r="H88" s="110" t="str">
        <f>IF(Q88="","",INDEX(kopsavilkums!$C$6:$C$125,Q88))</f>
        <v>Ronalds Mežals</v>
      </c>
      <c r="I88" s="111"/>
      <c r="J88" s="110" t="str">
        <f>IF(R88="","",INDEX(kopsavilkums!$C$6:$C$125,R88))</f>
        <v/>
      </c>
      <c r="K88" s="111"/>
      <c r="N88">
        <f>IF(1&gt;IF(3&lt;=(INT(kopsavilkums!$V$2/4)-MOD(kopsavilkums!$V$2,4)),4,IF(3&lt;=INT(kopsavilkums!$V$2/4),5,0)),"",IFERROR(MATCH((IF(3&lt;=(INT(kopsavilkums!$V$2/4)-MOD(kopsavilkums!$V$2,4)),(3-1)*4,(INT(kopsavilkums!$V$2/4)-MOD(kopsavilkums!$V$2,4))*4+(3-(INT(kopsavilkums!$V$2/4)-MOD(kopsavilkums!$V$2,4))-1)*5)+1),kopsavilkums!$X$6:$X$125,0),""))</f>
        <v>9</v>
      </c>
      <c r="O88">
        <f>IF(2&gt;IF(3&lt;=(INT(kopsavilkums!$V$2/4)-MOD(kopsavilkums!$V$2,4)),4,IF(3&lt;=INT(kopsavilkums!$V$2/4),5,0)),"",IFERROR(MATCH((IF(3&lt;=(INT(kopsavilkums!$V$2/4)-MOD(kopsavilkums!$V$2,4)),(3-1)*4,(INT(kopsavilkums!$V$2/4)-MOD(kopsavilkums!$V$2,4))*4+(3-(INT(kopsavilkums!$V$2/4)-MOD(kopsavilkums!$V$2,4))-1)*5)+2),kopsavilkums!$X$6:$X$125,0),""))</f>
        <v>10</v>
      </c>
      <c r="P88">
        <f>IF(3&gt;IF(3&lt;=(INT(kopsavilkums!$V$2/4)-MOD(kopsavilkums!$V$2,4)),4,IF(3&lt;=INT(kopsavilkums!$V$2/4),5,0)),"",IFERROR(MATCH((IF(3&lt;=(INT(kopsavilkums!$V$2/4)-MOD(kopsavilkums!$V$2,4)),(3-1)*4,(INT(kopsavilkums!$V$2/4)-MOD(kopsavilkums!$V$2,4))*4+(3-(INT(kopsavilkums!$V$2/4)-MOD(kopsavilkums!$V$2,4))-1)*5)+3),kopsavilkums!$X$6:$X$125,0),""))</f>
        <v>11</v>
      </c>
      <c r="Q88">
        <f>IF(4&gt;IF(3&lt;=(INT(kopsavilkums!$V$2/4)-MOD(kopsavilkums!$V$2,4)),4,IF(3&lt;=INT(kopsavilkums!$V$2/4),5,0)),"",IFERROR(MATCH((IF(3&lt;=(INT(kopsavilkums!$V$2/4)-MOD(kopsavilkums!$V$2,4)),(3-1)*4,(INT(kopsavilkums!$V$2/4)-MOD(kopsavilkums!$V$2,4))*4+(3-(INT(kopsavilkums!$V$2/4)-MOD(kopsavilkums!$V$2,4))-1)*5)+4),kopsavilkums!$X$6:$X$125,0),""))</f>
        <v>12</v>
      </c>
      <c r="R88" t="str">
        <f>IF(5&gt;IF(3&lt;=(INT(kopsavilkums!$V$2/4)-MOD(kopsavilkums!$V$2,4)),4,IF(3&lt;=INT(kopsavilkums!$V$2/4),5,0)),"",IFERROR(MATCH((IF(3&lt;=(INT(kopsavilkums!$V$2/4)-MOD(kopsavilkums!$V$2,4)),(3-1)*4,(INT(kopsavilkums!$V$2/4)-MOD(kopsavilkums!$V$2,4))*4+(3-(INT(kopsavilkums!$V$2/4)-MOD(kopsavilkums!$V$2,4))-1)*5)+5),kopsavilkums!$X$6:$X$125,0),""))</f>
        <v/>
      </c>
    </row>
    <row r="89" spans="1:18" ht="15.75">
      <c r="A89" s="4" t="s">
        <v>63</v>
      </c>
      <c r="B89" s="105">
        <f>IF(B88="","",3)</f>
        <v>3</v>
      </c>
      <c r="C89" s="105"/>
      <c r="D89" s="105">
        <f>IF(D88="","",3)</f>
        <v>3</v>
      </c>
      <c r="E89" s="105"/>
      <c r="F89" s="105">
        <f>IF(F88="","",3)</f>
        <v>3</v>
      </c>
      <c r="G89" s="105"/>
      <c r="H89" s="105">
        <f>IF(H88="","",3)</f>
        <v>3</v>
      </c>
      <c r="I89" s="105"/>
      <c r="J89" s="107" t="str">
        <f>IF(J88="","",3)</f>
        <v/>
      </c>
      <c r="K89" s="108"/>
    </row>
    <row r="90" spans="1:18" ht="15.75">
      <c r="A90" s="5" t="s">
        <v>64</v>
      </c>
      <c r="B90" s="8">
        <f>IF(N88="","",INDEX(kopsavilkums!$T$6:$T$125,N88))</f>
        <v>27</v>
      </c>
      <c r="C90" s="8">
        <f>IF(N88="","",INDEX(kopsavilkums!$U$6:$U$125,N88))</f>
        <v>87</v>
      </c>
      <c r="D90" s="8">
        <f>IF(O88="","",INDEX(kopsavilkums!$T$6:$T$125,O88))</f>
        <v>27</v>
      </c>
      <c r="E90" s="8">
        <f>IF(O88="","",INDEX(kopsavilkums!$U$6:$U$125,O88))</f>
        <v>59</v>
      </c>
      <c r="F90" s="8">
        <f>IF(P88="","",INDEX(kopsavilkums!$T$6:$T$125,P88))</f>
        <v>26</v>
      </c>
      <c r="G90" s="8">
        <f>IF(P88="","",INDEX(kopsavilkums!$U$6:$U$125,P88))</f>
        <v>63</v>
      </c>
      <c r="H90" s="8">
        <f>IF(Q88="","",INDEX(kopsavilkums!$T$6:$T$125,Q88))</f>
        <v>26</v>
      </c>
      <c r="I90" s="8">
        <f>IF(Q88="","",INDEX(kopsavilkums!$U$6:$U$125,Q88))</f>
        <v>52</v>
      </c>
      <c r="J90" s="8" t="str">
        <f>IF(R88="","",INDEX(kopsavilkums!$T$6:$T$125,R88))</f>
        <v/>
      </c>
      <c r="K90" s="8" t="str">
        <f>IF(R88="","",INDEX(kopsavilkums!$U$6:$U$125,R88))</f>
        <v/>
      </c>
    </row>
    <row r="91" spans="1:18">
      <c r="L91" s="17" t="s">
        <v>66</v>
      </c>
      <c r="M91" s="18"/>
    </row>
    <row r="92" spans="1:18">
      <c r="M92" s="2"/>
    </row>
    <row r="93" spans="1:18" ht="18">
      <c r="A93" s="3">
        <v>1</v>
      </c>
      <c r="B93" s="102"/>
      <c r="C93" s="102"/>
      <c r="D93" s="102"/>
      <c r="E93" s="102"/>
      <c r="F93" s="102"/>
      <c r="G93" s="102"/>
      <c r="H93" s="102"/>
      <c r="I93" s="102"/>
      <c r="J93" s="99"/>
      <c r="K93" s="99"/>
      <c r="L93" s="46"/>
      <c r="M93" s="6"/>
    </row>
    <row r="94" spans="1:18" ht="18">
      <c r="A94" s="3">
        <v>2</v>
      </c>
      <c r="B94" s="102"/>
      <c r="C94" s="102"/>
      <c r="D94" s="102"/>
      <c r="E94" s="102"/>
      <c r="F94" s="102"/>
      <c r="G94" s="102"/>
      <c r="H94" s="102"/>
      <c r="I94" s="102"/>
      <c r="J94" s="99"/>
      <c r="K94" s="99"/>
      <c r="L94" s="46"/>
      <c r="M94" s="6"/>
    </row>
    <row r="95" spans="1:18" ht="18">
      <c r="A95" s="3">
        <v>3</v>
      </c>
      <c r="B95" s="102"/>
      <c r="C95" s="102"/>
      <c r="D95" s="102"/>
      <c r="E95" s="102"/>
      <c r="F95" s="102"/>
      <c r="G95" s="102"/>
      <c r="H95" s="102"/>
      <c r="I95" s="102"/>
      <c r="J95" s="99"/>
      <c r="K95" s="99"/>
      <c r="L95" s="46"/>
      <c r="M95" s="6"/>
    </row>
    <row r="96" spans="1:18" ht="18">
      <c r="A96" s="3">
        <v>4</v>
      </c>
      <c r="B96" s="102"/>
      <c r="C96" s="102"/>
      <c r="D96" s="102"/>
      <c r="E96" s="102"/>
      <c r="F96" s="102"/>
      <c r="G96" s="102"/>
      <c r="H96" s="102"/>
      <c r="I96" s="102"/>
      <c r="J96" s="99"/>
      <c r="K96" s="99"/>
      <c r="L96" s="46"/>
      <c r="M96" s="6"/>
    </row>
    <row r="97" spans="1:13" ht="18">
      <c r="A97" s="3">
        <v>5</v>
      </c>
      <c r="B97" s="102"/>
      <c r="C97" s="102"/>
      <c r="D97" s="102"/>
      <c r="E97" s="102"/>
      <c r="F97" s="102"/>
      <c r="G97" s="102"/>
      <c r="H97" s="102"/>
      <c r="I97" s="102"/>
      <c r="J97" s="99"/>
      <c r="K97" s="99"/>
      <c r="L97" s="46"/>
      <c r="M97" s="6"/>
    </row>
    <row r="98" spans="1:13" ht="18">
      <c r="A98" s="3">
        <v>6</v>
      </c>
      <c r="B98" s="102"/>
      <c r="C98" s="102"/>
      <c r="D98" s="102"/>
      <c r="E98" s="102"/>
      <c r="F98" s="102"/>
      <c r="G98" s="102"/>
      <c r="H98" s="102"/>
      <c r="I98" s="102"/>
      <c r="J98" s="99"/>
      <c r="K98" s="99"/>
      <c r="L98" s="46"/>
      <c r="M98" s="6"/>
    </row>
    <row r="99" spans="1:13" ht="18">
      <c r="A99" s="3">
        <v>7</v>
      </c>
      <c r="B99" s="102"/>
      <c r="C99" s="102"/>
      <c r="D99" s="102"/>
      <c r="E99" s="102"/>
      <c r="F99" s="102"/>
      <c r="G99" s="102"/>
      <c r="H99" s="102"/>
      <c r="I99" s="102"/>
      <c r="J99" s="99"/>
      <c r="K99" s="99"/>
      <c r="L99" s="46"/>
      <c r="M99" s="6"/>
    </row>
    <row r="100" spans="1:13" ht="18">
      <c r="A100" s="3">
        <v>8</v>
      </c>
      <c r="B100" s="102"/>
      <c r="C100" s="102"/>
      <c r="D100" s="102"/>
      <c r="E100" s="102"/>
      <c r="F100" s="102"/>
      <c r="G100" s="102"/>
      <c r="H100" s="102"/>
      <c r="I100" s="102"/>
      <c r="J100" s="99"/>
      <c r="K100" s="99"/>
      <c r="L100" s="46"/>
      <c r="M100" s="6"/>
    </row>
    <row r="101" spans="1:13" ht="18">
      <c r="A101" s="3">
        <v>9</v>
      </c>
      <c r="B101" s="102"/>
      <c r="C101" s="102"/>
      <c r="D101" s="102"/>
      <c r="E101" s="102"/>
      <c r="F101" s="102"/>
      <c r="G101" s="102"/>
      <c r="H101" s="102"/>
      <c r="I101" s="102"/>
      <c r="J101" s="99"/>
      <c r="K101" s="99"/>
      <c r="L101" s="46"/>
      <c r="M101" s="6"/>
    </row>
    <row r="102" spans="1:13" ht="18">
      <c r="A102" s="3">
        <v>10</v>
      </c>
      <c r="B102" s="102"/>
      <c r="C102" s="102"/>
      <c r="D102" s="102"/>
      <c r="E102" s="102"/>
      <c r="F102" s="102"/>
      <c r="G102" s="102"/>
      <c r="H102" s="102"/>
      <c r="I102" s="102"/>
      <c r="J102" s="99"/>
      <c r="K102" s="99"/>
      <c r="L102" s="46"/>
      <c r="M102" s="6"/>
    </row>
    <row r="103" spans="1:13" ht="18">
      <c r="A103" s="3">
        <v>11</v>
      </c>
      <c r="B103" s="102"/>
      <c r="C103" s="102"/>
      <c r="D103" s="102"/>
      <c r="E103" s="102"/>
      <c r="F103" s="102"/>
      <c r="G103" s="102"/>
      <c r="H103" s="102"/>
      <c r="I103" s="102"/>
      <c r="J103" s="99"/>
      <c r="K103" s="99"/>
      <c r="L103" s="46"/>
      <c r="M103" s="6"/>
    </row>
    <row r="104" spans="1:13" ht="18">
      <c r="A104" s="3">
        <v>12</v>
      </c>
      <c r="B104" s="102"/>
      <c r="C104" s="102"/>
      <c r="D104" s="102"/>
      <c r="E104" s="102"/>
      <c r="F104" s="102"/>
      <c r="G104" s="102"/>
      <c r="H104" s="102"/>
      <c r="I104" s="102"/>
      <c r="J104" s="99"/>
      <c r="K104" s="99"/>
      <c r="L104" s="46"/>
      <c r="M104" s="6"/>
    </row>
    <row r="105" spans="1:13" ht="18">
      <c r="A105" s="3">
        <v>13</v>
      </c>
      <c r="B105" s="102"/>
      <c r="C105" s="102"/>
      <c r="D105" s="102"/>
      <c r="E105" s="102"/>
      <c r="F105" s="102"/>
      <c r="G105" s="102"/>
      <c r="H105" s="102"/>
      <c r="I105" s="102"/>
      <c r="J105" s="99"/>
      <c r="K105" s="99"/>
      <c r="L105" s="46"/>
      <c r="M105" s="6"/>
    </row>
    <row r="106" spans="1:13" ht="18">
      <c r="A106" s="3">
        <v>14</v>
      </c>
      <c r="B106" s="102"/>
      <c r="C106" s="102"/>
      <c r="D106" s="102"/>
      <c r="E106" s="102"/>
      <c r="F106" s="102"/>
      <c r="G106" s="102"/>
      <c r="H106" s="102"/>
      <c r="I106" s="102"/>
      <c r="J106" s="99"/>
      <c r="K106" s="99"/>
      <c r="L106" s="46"/>
      <c r="M106" s="6"/>
    </row>
    <row r="107" spans="1:13" ht="18">
      <c r="A107" s="3">
        <v>15</v>
      </c>
      <c r="B107" s="102"/>
      <c r="C107" s="102"/>
      <c r="D107" s="102"/>
      <c r="E107" s="102"/>
      <c r="F107" s="102"/>
      <c r="G107" s="102"/>
      <c r="H107" s="102"/>
      <c r="I107" s="102"/>
      <c r="J107" s="99"/>
      <c r="K107" s="99"/>
      <c r="L107" s="46"/>
      <c r="M107" s="6"/>
    </row>
    <row r="108" spans="1:13" ht="18">
      <c r="A108" s="3">
        <v>16</v>
      </c>
      <c r="B108" s="102"/>
      <c r="C108" s="102"/>
      <c r="D108" s="102"/>
      <c r="E108" s="102"/>
      <c r="F108" s="102"/>
      <c r="G108" s="102"/>
      <c r="H108" s="102"/>
      <c r="I108" s="102"/>
      <c r="J108" s="99"/>
      <c r="K108" s="99"/>
      <c r="L108" s="46"/>
      <c r="M108" s="6"/>
    </row>
    <row r="109" spans="1:13" ht="18">
      <c r="A109" s="3">
        <v>17</v>
      </c>
      <c r="B109" s="102"/>
      <c r="C109" s="102"/>
      <c r="D109" s="102"/>
      <c r="E109" s="102"/>
      <c r="F109" s="102"/>
      <c r="G109" s="102"/>
      <c r="H109" s="102"/>
      <c r="I109" s="102"/>
      <c r="J109" s="99"/>
      <c r="K109" s="99"/>
      <c r="L109" s="46"/>
      <c r="M109" s="6"/>
    </row>
    <row r="110" spans="1:13" ht="18">
      <c r="A110" s="3">
        <v>18</v>
      </c>
      <c r="B110" s="102"/>
      <c r="C110" s="102"/>
      <c r="D110" s="102"/>
      <c r="E110" s="102"/>
      <c r="F110" s="102"/>
      <c r="G110" s="102"/>
      <c r="H110" s="102"/>
      <c r="I110" s="102"/>
      <c r="J110" s="99"/>
      <c r="K110" s="99"/>
      <c r="L110" s="46"/>
      <c r="M110" s="6"/>
    </row>
    <row r="111" spans="1:13" ht="18">
      <c r="A111" s="3">
        <v>19</v>
      </c>
      <c r="B111" s="102"/>
      <c r="C111" s="102"/>
      <c r="D111" s="102"/>
      <c r="E111" s="102"/>
      <c r="F111" s="102"/>
      <c r="G111" s="102"/>
      <c r="H111" s="102"/>
      <c r="I111" s="102"/>
      <c r="J111" s="99"/>
      <c r="K111" s="99"/>
      <c r="L111" s="46"/>
      <c r="M111" s="6"/>
    </row>
    <row r="112" spans="1:13" ht="18">
      <c r="A112" s="3">
        <v>20</v>
      </c>
      <c r="B112" s="102"/>
      <c r="C112" s="102"/>
      <c r="D112" s="102"/>
      <c r="E112" s="102"/>
      <c r="F112" s="102"/>
      <c r="G112" s="102"/>
      <c r="H112" s="102"/>
      <c r="I112" s="102"/>
      <c r="J112" s="99"/>
      <c r="K112" s="99"/>
      <c r="L112" s="46"/>
      <c r="M112" s="6"/>
    </row>
    <row r="113" spans="1:13" ht="18">
      <c r="A113" s="3">
        <v>21</v>
      </c>
      <c r="B113" s="102"/>
      <c r="C113" s="102"/>
      <c r="D113" s="102"/>
      <c r="E113" s="102"/>
      <c r="F113" s="102"/>
      <c r="G113" s="102"/>
      <c r="H113" s="102"/>
      <c r="I113" s="102"/>
      <c r="J113" s="99"/>
      <c r="K113" s="99"/>
      <c r="L113" s="46"/>
      <c r="M113" s="6"/>
    </row>
    <row r="114" spans="1:13" ht="18">
      <c r="A114" s="3">
        <v>22</v>
      </c>
      <c r="B114" s="102"/>
      <c r="C114" s="102"/>
      <c r="D114" s="102"/>
      <c r="E114" s="102"/>
      <c r="F114" s="102"/>
      <c r="G114" s="102"/>
      <c r="H114" s="102"/>
      <c r="I114" s="102"/>
      <c r="J114" s="99"/>
      <c r="K114" s="99"/>
      <c r="L114" s="46"/>
      <c r="M114" s="6"/>
    </row>
    <row r="115" spans="1:13" ht="18">
      <c r="A115" s="3">
        <v>23</v>
      </c>
      <c r="B115" s="102"/>
      <c r="C115" s="102"/>
      <c r="D115" s="102"/>
      <c r="E115" s="102"/>
      <c r="F115" s="102"/>
      <c r="G115" s="102"/>
      <c r="H115" s="102"/>
      <c r="I115" s="102"/>
      <c r="J115" s="99"/>
      <c r="K115" s="99"/>
      <c r="L115" s="46"/>
      <c r="M115" s="6"/>
    </row>
    <row r="116" spans="1:13" ht="18">
      <c r="A116" s="3">
        <v>24</v>
      </c>
      <c r="B116" s="102"/>
      <c r="C116" s="102"/>
      <c r="D116" s="102"/>
      <c r="E116" s="102"/>
      <c r="F116" s="102"/>
      <c r="G116" s="102"/>
      <c r="H116" s="102"/>
      <c r="I116" s="102"/>
      <c r="J116" s="99"/>
      <c r="K116" s="99"/>
      <c r="L116" s="46"/>
      <c r="M116" s="6"/>
    </row>
    <row r="117" spans="1:13" ht="18">
      <c r="A117" s="3">
        <v>25</v>
      </c>
      <c r="B117" s="102"/>
      <c r="C117" s="102"/>
      <c r="D117" s="102"/>
      <c r="E117" s="102"/>
      <c r="F117" s="102"/>
      <c r="G117" s="102"/>
      <c r="H117" s="102"/>
      <c r="I117" s="102"/>
      <c r="J117" s="99"/>
      <c r="K117" s="99"/>
      <c r="L117" s="46"/>
      <c r="M117" s="6"/>
    </row>
    <row r="118" spans="1:13" ht="18">
      <c r="A118" s="3">
        <v>26</v>
      </c>
      <c r="B118" s="102"/>
      <c r="C118" s="102"/>
      <c r="D118" s="102"/>
      <c r="E118" s="102"/>
      <c r="F118" s="102"/>
      <c r="G118" s="102"/>
      <c r="H118" s="102"/>
      <c r="I118" s="102"/>
      <c r="J118" s="99"/>
      <c r="K118" s="99"/>
      <c r="L118" s="46"/>
      <c r="M118" s="6"/>
    </row>
    <row r="119" spans="1:13" ht="18">
      <c r="A119" s="3">
        <v>27</v>
      </c>
      <c r="B119" s="102"/>
      <c r="C119" s="102"/>
      <c r="D119" s="102"/>
      <c r="E119" s="102"/>
      <c r="F119" s="102"/>
      <c r="G119" s="102"/>
      <c r="H119" s="102"/>
      <c r="I119" s="102"/>
      <c r="J119" s="99"/>
      <c r="K119" s="99"/>
      <c r="L119" s="46"/>
      <c r="M119" s="6"/>
    </row>
    <row r="120" spans="1:13" ht="18">
      <c r="A120" s="3">
        <v>28</v>
      </c>
      <c r="B120" s="102"/>
      <c r="C120" s="102"/>
      <c r="D120" s="102"/>
      <c r="E120" s="102"/>
      <c r="F120" s="102"/>
      <c r="G120" s="102"/>
      <c r="H120" s="102"/>
      <c r="I120" s="102"/>
      <c r="J120" s="99"/>
      <c r="K120" s="99"/>
      <c r="L120" s="46"/>
      <c r="M120" s="6"/>
    </row>
    <row r="121" spans="1:13">
      <c r="B121" s="102"/>
      <c r="C121" s="102"/>
      <c r="D121" s="102"/>
      <c r="E121" s="102"/>
      <c r="F121" s="102"/>
      <c r="G121" s="102"/>
      <c r="H121" s="102"/>
      <c r="I121" s="102"/>
      <c r="J121" s="99"/>
      <c r="K121" s="99"/>
      <c r="L121" s="46"/>
      <c r="M121" s="6"/>
    </row>
    <row r="122" spans="1:13">
      <c r="B122" s="97"/>
      <c r="C122" s="98"/>
      <c r="D122" s="97"/>
      <c r="E122" s="98"/>
      <c r="F122" s="97"/>
      <c r="G122" s="98"/>
      <c r="H122" s="97"/>
      <c r="I122" s="98"/>
      <c r="J122" s="99"/>
      <c r="K122" s="99"/>
      <c r="L122" s="46"/>
      <c r="M122" s="6"/>
    </row>
    <row r="123" spans="1:13">
      <c r="B123" s="93"/>
      <c r="C123" s="94"/>
      <c r="D123" s="93"/>
      <c r="E123" s="94"/>
      <c r="F123" s="93"/>
      <c r="G123" s="94"/>
      <c r="H123" s="93"/>
      <c r="I123" s="94"/>
      <c r="J123" s="95"/>
      <c r="K123" s="96"/>
      <c r="L123" s="46"/>
      <c r="M123" s="6"/>
    </row>
    <row r="125" spans="1:13">
      <c r="B125" s="7" t="str">
        <f>kopsavilkums!$J$2</f>
        <v>Dizšvētku Zolītes finālturnīrs Valkā 2026 (RONDO)</v>
      </c>
    </row>
    <row r="127" spans="1:13">
      <c r="G127" s="41" t="s">
        <v>62</v>
      </c>
      <c r="H127" s="43">
        <f>IF(kopsavilkums!$E$2="","",kopsavilkums!$E$2)</f>
        <v>8</v>
      </c>
    </row>
    <row r="129" spans="1:18">
      <c r="B129" s="110" t="str">
        <f>IF(N129="","",INDEX(kopsavilkums!$C$6:$C$125,N129))</f>
        <v>Māris Paeglis</v>
      </c>
      <c r="C129" s="111"/>
      <c r="D129" s="110" t="str">
        <f>IF(O129="","",INDEX(kopsavilkums!$C$6:$C$125,O129))</f>
        <v>Grigorijs Kozļakovskis</v>
      </c>
      <c r="E129" s="111"/>
      <c r="F129" s="110" t="str">
        <f>IF(P129="","",INDEX(kopsavilkums!$C$6:$C$125,P129))</f>
        <v>Elgars Sapats</v>
      </c>
      <c r="G129" s="111"/>
      <c r="H129" s="110" t="str">
        <f>IF(Q129="","",INDEX(kopsavilkums!$C$6:$C$125,Q129))</f>
        <v>Ojārs Petrēvics</v>
      </c>
      <c r="I129" s="111"/>
      <c r="J129" s="110" t="str">
        <f>IF(R129="","",INDEX(kopsavilkums!$C$6:$C$125,R129))</f>
        <v/>
      </c>
      <c r="K129" s="111"/>
      <c r="N129">
        <f>IF(1&gt;IF(4&lt;=(INT(kopsavilkums!$V$2/4)-MOD(kopsavilkums!$V$2,4)),4,IF(4&lt;=INT(kopsavilkums!$V$2/4),5,0)),"",IFERROR(MATCH((IF(4&lt;=(INT(kopsavilkums!$V$2/4)-MOD(kopsavilkums!$V$2,4)),(4-1)*4,(INT(kopsavilkums!$V$2/4)-MOD(kopsavilkums!$V$2,4))*4+(4-(INT(kopsavilkums!$V$2/4)-MOD(kopsavilkums!$V$2,4))-1)*5)+1),kopsavilkums!$X$6:$X$125,0),""))</f>
        <v>13</v>
      </c>
      <c r="O129">
        <f>IF(2&gt;IF(4&lt;=(INT(kopsavilkums!$V$2/4)-MOD(kopsavilkums!$V$2,4)),4,IF(4&lt;=INT(kopsavilkums!$V$2/4),5,0)),"",IFERROR(MATCH((IF(4&lt;=(INT(kopsavilkums!$V$2/4)-MOD(kopsavilkums!$V$2,4)),(4-1)*4,(INT(kopsavilkums!$V$2/4)-MOD(kopsavilkums!$V$2,4))*4+(4-(INT(kopsavilkums!$V$2/4)-MOD(kopsavilkums!$V$2,4))-1)*5)+2),kopsavilkums!$X$6:$X$125,0),""))</f>
        <v>14</v>
      </c>
      <c r="P129">
        <f>IF(3&gt;IF(4&lt;=(INT(kopsavilkums!$V$2/4)-MOD(kopsavilkums!$V$2,4)),4,IF(4&lt;=INT(kopsavilkums!$V$2/4),5,0)),"",IFERROR(MATCH((IF(4&lt;=(INT(kopsavilkums!$V$2/4)-MOD(kopsavilkums!$V$2,4)),(4-1)*4,(INT(kopsavilkums!$V$2/4)-MOD(kopsavilkums!$V$2,4))*4+(4-(INT(kopsavilkums!$V$2/4)-MOD(kopsavilkums!$V$2,4))-1)*5)+3),kopsavilkums!$X$6:$X$125,0),""))</f>
        <v>15</v>
      </c>
      <c r="Q129">
        <f>IF(4&gt;IF(4&lt;=(INT(kopsavilkums!$V$2/4)-MOD(kopsavilkums!$V$2,4)),4,IF(4&lt;=INT(kopsavilkums!$V$2/4),5,0)),"",IFERROR(MATCH((IF(4&lt;=(INT(kopsavilkums!$V$2/4)-MOD(kopsavilkums!$V$2,4)),(4-1)*4,(INT(kopsavilkums!$V$2/4)-MOD(kopsavilkums!$V$2,4))*4+(4-(INT(kopsavilkums!$V$2/4)-MOD(kopsavilkums!$V$2,4))-1)*5)+4),kopsavilkums!$X$6:$X$125,0),""))</f>
        <v>16</v>
      </c>
      <c r="R129" t="str">
        <f>IF(5&gt;IF(4&lt;=(INT(kopsavilkums!$V$2/4)-MOD(kopsavilkums!$V$2,4)),4,IF(4&lt;=INT(kopsavilkums!$V$2/4),5,0)),"",IFERROR(MATCH((IF(4&lt;=(INT(kopsavilkums!$V$2/4)-MOD(kopsavilkums!$V$2,4)),(4-1)*4,(INT(kopsavilkums!$V$2/4)-MOD(kopsavilkums!$V$2,4))*4+(4-(INT(kopsavilkums!$V$2/4)-MOD(kopsavilkums!$V$2,4))-1)*5)+5),kopsavilkums!$X$6:$X$125,0),""))</f>
        <v/>
      </c>
    </row>
    <row r="130" spans="1:18" ht="15.75">
      <c r="A130" s="4" t="s">
        <v>63</v>
      </c>
      <c r="B130" s="105">
        <f>IF(B129="","",4)</f>
        <v>4</v>
      </c>
      <c r="C130" s="105"/>
      <c r="D130" s="105">
        <f>IF(D129="","",4)</f>
        <v>4</v>
      </c>
      <c r="E130" s="105"/>
      <c r="F130" s="105">
        <f>IF(F129="","",4)</f>
        <v>4</v>
      </c>
      <c r="G130" s="105"/>
      <c r="H130" s="105">
        <f>IF(H129="","",4)</f>
        <v>4</v>
      </c>
      <c r="I130" s="105"/>
      <c r="J130" s="107" t="str">
        <f>IF(J129="","",4)</f>
        <v/>
      </c>
      <c r="K130" s="108"/>
    </row>
    <row r="131" spans="1:18" ht="15.75">
      <c r="A131" s="5" t="s">
        <v>64</v>
      </c>
      <c r="B131" s="8">
        <f>IF(N129="","",INDEX(kopsavilkums!$T$6:$T$125,N129))</f>
        <v>26</v>
      </c>
      <c r="C131" s="8">
        <f>IF(N129="","",INDEX(kopsavilkums!$U$6:$U$125,N129))</f>
        <v>43</v>
      </c>
      <c r="D131" s="8">
        <f>IF(O129="","",INDEX(kopsavilkums!$T$6:$T$125,O129))</f>
        <v>26</v>
      </c>
      <c r="E131" s="8">
        <f>IF(O129="","",INDEX(kopsavilkums!$U$6:$U$125,O129))</f>
        <v>39</v>
      </c>
      <c r="F131" s="8">
        <f>IF(P129="","",INDEX(kopsavilkums!$T$6:$T$125,P129))</f>
        <v>25</v>
      </c>
      <c r="G131" s="8">
        <f>IF(P129="","",INDEX(kopsavilkums!$U$6:$U$125,P129))</f>
        <v>89</v>
      </c>
      <c r="H131" s="8">
        <f>IF(Q129="","",INDEX(kopsavilkums!$T$6:$T$125,Q129))</f>
        <v>25</v>
      </c>
      <c r="I131" s="8">
        <f>IF(Q129="","",INDEX(kopsavilkums!$U$6:$U$125,Q129))</f>
        <v>40</v>
      </c>
      <c r="J131" s="8" t="str">
        <f>IF(R129="","",INDEX(kopsavilkums!$T$6:$T$125,R129))</f>
        <v/>
      </c>
      <c r="K131" s="8" t="str">
        <f>IF(R129="","",INDEX(kopsavilkums!$U$6:$U$125,R129))</f>
        <v/>
      </c>
    </row>
    <row r="132" spans="1:18">
      <c r="L132" s="17" t="s">
        <v>66</v>
      </c>
      <c r="M132" s="18"/>
    </row>
    <row r="133" spans="1:18">
      <c r="M133" s="2"/>
    </row>
    <row r="134" spans="1:18" ht="18">
      <c r="A134" s="3">
        <v>1</v>
      </c>
      <c r="B134" s="102"/>
      <c r="C134" s="102"/>
      <c r="D134" s="102"/>
      <c r="E134" s="102"/>
      <c r="F134" s="102"/>
      <c r="G134" s="102"/>
      <c r="H134" s="102"/>
      <c r="I134" s="102"/>
      <c r="J134" s="99"/>
      <c r="K134" s="99"/>
      <c r="L134" s="46"/>
      <c r="M134" s="6"/>
    </row>
    <row r="135" spans="1:18" ht="18">
      <c r="A135" s="3">
        <v>2</v>
      </c>
      <c r="B135" s="102"/>
      <c r="C135" s="102"/>
      <c r="D135" s="102"/>
      <c r="E135" s="102"/>
      <c r="F135" s="102"/>
      <c r="G135" s="102"/>
      <c r="H135" s="102"/>
      <c r="I135" s="102"/>
      <c r="J135" s="99"/>
      <c r="K135" s="99"/>
      <c r="L135" s="46"/>
      <c r="M135" s="6"/>
    </row>
    <row r="136" spans="1:18" ht="18">
      <c r="A136" s="3">
        <v>3</v>
      </c>
      <c r="B136" s="102"/>
      <c r="C136" s="102"/>
      <c r="D136" s="102"/>
      <c r="E136" s="102"/>
      <c r="F136" s="102"/>
      <c r="G136" s="102"/>
      <c r="H136" s="102"/>
      <c r="I136" s="102"/>
      <c r="J136" s="99"/>
      <c r="K136" s="99"/>
      <c r="L136" s="46"/>
      <c r="M136" s="6"/>
    </row>
    <row r="137" spans="1:18" ht="18">
      <c r="A137" s="3">
        <v>4</v>
      </c>
      <c r="B137" s="102"/>
      <c r="C137" s="102"/>
      <c r="D137" s="102"/>
      <c r="E137" s="102"/>
      <c r="F137" s="102"/>
      <c r="G137" s="102"/>
      <c r="H137" s="102"/>
      <c r="I137" s="102"/>
      <c r="J137" s="99"/>
      <c r="K137" s="99"/>
      <c r="L137" s="46"/>
      <c r="M137" s="6"/>
    </row>
    <row r="138" spans="1:18" ht="18">
      <c r="A138" s="3">
        <v>5</v>
      </c>
      <c r="B138" s="102"/>
      <c r="C138" s="102"/>
      <c r="D138" s="102"/>
      <c r="E138" s="102"/>
      <c r="F138" s="102"/>
      <c r="G138" s="102"/>
      <c r="H138" s="102"/>
      <c r="I138" s="102"/>
      <c r="J138" s="99"/>
      <c r="K138" s="99"/>
      <c r="L138" s="46"/>
      <c r="M138" s="6"/>
    </row>
    <row r="139" spans="1:18" ht="18">
      <c r="A139" s="3">
        <v>6</v>
      </c>
      <c r="B139" s="102"/>
      <c r="C139" s="102"/>
      <c r="D139" s="102"/>
      <c r="E139" s="102"/>
      <c r="F139" s="102"/>
      <c r="G139" s="102"/>
      <c r="H139" s="102"/>
      <c r="I139" s="102"/>
      <c r="J139" s="99"/>
      <c r="K139" s="99"/>
      <c r="L139" s="46"/>
      <c r="M139" s="6"/>
    </row>
    <row r="140" spans="1:18" ht="18">
      <c r="A140" s="3">
        <v>7</v>
      </c>
      <c r="B140" s="102"/>
      <c r="C140" s="102"/>
      <c r="D140" s="102"/>
      <c r="E140" s="102"/>
      <c r="F140" s="102"/>
      <c r="G140" s="102"/>
      <c r="H140" s="102"/>
      <c r="I140" s="102"/>
      <c r="J140" s="99"/>
      <c r="K140" s="99"/>
      <c r="L140" s="46"/>
      <c r="M140" s="6"/>
    </row>
    <row r="141" spans="1:18" ht="18">
      <c r="A141" s="3">
        <v>8</v>
      </c>
      <c r="B141" s="102"/>
      <c r="C141" s="102"/>
      <c r="D141" s="102"/>
      <c r="E141" s="102"/>
      <c r="F141" s="102"/>
      <c r="G141" s="102"/>
      <c r="H141" s="102"/>
      <c r="I141" s="102"/>
      <c r="J141" s="99"/>
      <c r="K141" s="99"/>
      <c r="L141" s="46"/>
      <c r="M141" s="6"/>
    </row>
    <row r="142" spans="1:18" ht="18">
      <c r="A142" s="3">
        <v>9</v>
      </c>
      <c r="B142" s="102"/>
      <c r="C142" s="102"/>
      <c r="D142" s="102"/>
      <c r="E142" s="102"/>
      <c r="F142" s="102"/>
      <c r="G142" s="102"/>
      <c r="H142" s="102"/>
      <c r="I142" s="102"/>
      <c r="J142" s="99"/>
      <c r="K142" s="99"/>
      <c r="L142" s="46"/>
      <c r="M142" s="6"/>
    </row>
    <row r="143" spans="1:18" ht="18">
      <c r="A143" s="3">
        <v>10</v>
      </c>
      <c r="B143" s="102"/>
      <c r="C143" s="102"/>
      <c r="D143" s="102"/>
      <c r="E143" s="102"/>
      <c r="F143" s="102"/>
      <c r="G143" s="102"/>
      <c r="H143" s="102"/>
      <c r="I143" s="102"/>
      <c r="J143" s="99"/>
      <c r="K143" s="99"/>
      <c r="L143" s="46"/>
      <c r="M143" s="6"/>
    </row>
    <row r="144" spans="1:18" ht="18">
      <c r="A144" s="3">
        <v>11</v>
      </c>
      <c r="B144" s="102"/>
      <c r="C144" s="102"/>
      <c r="D144" s="102"/>
      <c r="E144" s="102"/>
      <c r="F144" s="102"/>
      <c r="G144" s="102"/>
      <c r="H144" s="102"/>
      <c r="I144" s="102"/>
      <c r="J144" s="99"/>
      <c r="K144" s="99"/>
      <c r="L144" s="46"/>
      <c r="M144" s="6"/>
    </row>
    <row r="145" spans="1:13" ht="18">
      <c r="A145" s="3">
        <v>12</v>
      </c>
      <c r="B145" s="102"/>
      <c r="C145" s="102"/>
      <c r="D145" s="102"/>
      <c r="E145" s="102"/>
      <c r="F145" s="102"/>
      <c r="G145" s="102"/>
      <c r="H145" s="102"/>
      <c r="I145" s="102"/>
      <c r="J145" s="99"/>
      <c r="K145" s="99"/>
      <c r="L145" s="46"/>
      <c r="M145" s="6"/>
    </row>
    <row r="146" spans="1:13" ht="18">
      <c r="A146" s="3">
        <v>13</v>
      </c>
      <c r="B146" s="102"/>
      <c r="C146" s="102"/>
      <c r="D146" s="102"/>
      <c r="E146" s="102"/>
      <c r="F146" s="102"/>
      <c r="G146" s="102"/>
      <c r="H146" s="102"/>
      <c r="I146" s="102"/>
      <c r="J146" s="99"/>
      <c r="K146" s="99"/>
      <c r="L146" s="46"/>
      <c r="M146" s="6"/>
    </row>
    <row r="147" spans="1:13" ht="18">
      <c r="A147" s="3">
        <v>14</v>
      </c>
      <c r="B147" s="102"/>
      <c r="C147" s="102"/>
      <c r="D147" s="102"/>
      <c r="E147" s="102"/>
      <c r="F147" s="102"/>
      <c r="G147" s="102"/>
      <c r="H147" s="102"/>
      <c r="I147" s="102"/>
      <c r="J147" s="99"/>
      <c r="K147" s="99"/>
      <c r="L147" s="46"/>
      <c r="M147" s="6"/>
    </row>
    <row r="148" spans="1:13" ht="18">
      <c r="A148" s="3">
        <v>15</v>
      </c>
      <c r="B148" s="102"/>
      <c r="C148" s="102"/>
      <c r="D148" s="102"/>
      <c r="E148" s="102"/>
      <c r="F148" s="102"/>
      <c r="G148" s="102"/>
      <c r="H148" s="102"/>
      <c r="I148" s="102"/>
      <c r="J148" s="99"/>
      <c r="K148" s="99"/>
      <c r="L148" s="46"/>
      <c r="M148" s="6"/>
    </row>
    <row r="149" spans="1:13" ht="18">
      <c r="A149" s="3">
        <v>16</v>
      </c>
      <c r="B149" s="102"/>
      <c r="C149" s="102"/>
      <c r="D149" s="102"/>
      <c r="E149" s="102"/>
      <c r="F149" s="102"/>
      <c r="G149" s="102"/>
      <c r="H149" s="102"/>
      <c r="I149" s="102"/>
      <c r="J149" s="99"/>
      <c r="K149" s="99"/>
      <c r="L149" s="46"/>
      <c r="M149" s="6"/>
    </row>
    <row r="150" spans="1:13" ht="18">
      <c r="A150" s="3">
        <v>17</v>
      </c>
      <c r="B150" s="102"/>
      <c r="C150" s="102"/>
      <c r="D150" s="102"/>
      <c r="E150" s="102"/>
      <c r="F150" s="102"/>
      <c r="G150" s="102"/>
      <c r="H150" s="102"/>
      <c r="I150" s="102"/>
      <c r="J150" s="99"/>
      <c r="K150" s="99"/>
      <c r="L150" s="46"/>
      <c r="M150" s="6"/>
    </row>
    <row r="151" spans="1:13" ht="18">
      <c r="A151" s="3">
        <v>18</v>
      </c>
      <c r="B151" s="102"/>
      <c r="C151" s="102"/>
      <c r="D151" s="102"/>
      <c r="E151" s="102"/>
      <c r="F151" s="102"/>
      <c r="G151" s="102"/>
      <c r="H151" s="102"/>
      <c r="I151" s="102"/>
      <c r="J151" s="99"/>
      <c r="K151" s="99"/>
      <c r="L151" s="46"/>
      <c r="M151" s="6"/>
    </row>
    <row r="152" spans="1:13" ht="18">
      <c r="A152" s="3">
        <v>19</v>
      </c>
      <c r="B152" s="102"/>
      <c r="C152" s="102"/>
      <c r="D152" s="102"/>
      <c r="E152" s="102"/>
      <c r="F152" s="102"/>
      <c r="G152" s="102"/>
      <c r="H152" s="102"/>
      <c r="I152" s="102"/>
      <c r="J152" s="99"/>
      <c r="K152" s="99"/>
      <c r="L152" s="46"/>
      <c r="M152" s="6"/>
    </row>
    <row r="153" spans="1:13" ht="18">
      <c r="A153" s="3">
        <v>20</v>
      </c>
      <c r="B153" s="102"/>
      <c r="C153" s="102"/>
      <c r="D153" s="102"/>
      <c r="E153" s="102"/>
      <c r="F153" s="102"/>
      <c r="G153" s="102"/>
      <c r="H153" s="102"/>
      <c r="I153" s="102"/>
      <c r="J153" s="99"/>
      <c r="K153" s="99"/>
      <c r="L153" s="46"/>
      <c r="M153" s="6"/>
    </row>
    <row r="154" spans="1:13" ht="18">
      <c r="A154" s="3">
        <v>21</v>
      </c>
      <c r="B154" s="102"/>
      <c r="C154" s="102"/>
      <c r="D154" s="102"/>
      <c r="E154" s="102"/>
      <c r="F154" s="102"/>
      <c r="G154" s="102"/>
      <c r="H154" s="102"/>
      <c r="I154" s="102"/>
      <c r="J154" s="99"/>
      <c r="K154" s="99"/>
      <c r="L154" s="46"/>
      <c r="M154" s="6"/>
    </row>
    <row r="155" spans="1:13" ht="18">
      <c r="A155" s="3">
        <v>22</v>
      </c>
      <c r="B155" s="102"/>
      <c r="C155" s="102"/>
      <c r="D155" s="102"/>
      <c r="E155" s="102"/>
      <c r="F155" s="102"/>
      <c r="G155" s="102"/>
      <c r="H155" s="102"/>
      <c r="I155" s="102"/>
      <c r="J155" s="99"/>
      <c r="K155" s="99"/>
      <c r="L155" s="46"/>
      <c r="M155" s="6"/>
    </row>
    <row r="156" spans="1:13" ht="18">
      <c r="A156" s="3">
        <v>23</v>
      </c>
      <c r="B156" s="102"/>
      <c r="C156" s="102"/>
      <c r="D156" s="102"/>
      <c r="E156" s="102"/>
      <c r="F156" s="102"/>
      <c r="G156" s="102"/>
      <c r="H156" s="102"/>
      <c r="I156" s="102"/>
      <c r="J156" s="99"/>
      <c r="K156" s="99"/>
      <c r="L156" s="46"/>
      <c r="M156" s="6"/>
    </row>
    <row r="157" spans="1:13" ht="18">
      <c r="A157" s="3">
        <v>24</v>
      </c>
      <c r="B157" s="102"/>
      <c r="C157" s="102"/>
      <c r="D157" s="102"/>
      <c r="E157" s="102"/>
      <c r="F157" s="102"/>
      <c r="G157" s="102"/>
      <c r="H157" s="102"/>
      <c r="I157" s="102"/>
      <c r="J157" s="99"/>
      <c r="K157" s="99"/>
      <c r="L157" s="46"/>
      <c r="M157" s="6"/>
    </row>
    <row r="158" spans="1:13" ht="18">
      <c r="A158" s="3">
        <v>25</v>
      </c>
      <c r="B158" s="102"/>
      <c r="C158" s="102"/>
      <c r="D158" s="102"/>
      <c r="E158" s="102"/>
      <c r="F158" s="102"/>
      <c r="G158" s="102"/>
      <c r="H158" s="102"/>
      <c r="I158" s="102"/>
      <c r="J158" s="99"/>
      <c r="K158" s="99"/>
      <c r="L158" s="46"/>
      <c r="M158" s="6"/>
    </row>
    <row r="159" spans="1:13" ht="18">
      <c r="A159" s="3">
        <v>26</v>
      </c>
      <c r="B159" s="102"/>
      <c r="C159" s="102"/>
      <c r="D159" s="102"/>
      <c r="E159" s="102"/>
      <c r="F159" s="102"/>
      <c r="G159" s="102"/>
      <c r="H159" s="102"/>
      <c r="I159" s="102"/>
      <c r="J159" s="99"/>
      <c r="K159" s="99"/>
      <c r="L159" s="46"/>
      <c r="M159" s="6"/>
    </row>
    <row r="160" spans="1:13" ht="18">
      <c r="A160" s="3">
        <v>27</v>
      </c>
      <c r="B160" s="102"/>
      <c r="C160" s="102"/>
      <c r="D160" s="102"/>
      <c r="E160" s="102"/>
      <c r="F160" s="102"/>
      <c r="G160" s="102"/>
      <c r="H160" s="102"/>
      <c r="I160" s="102"/>
      <c r="J160" s="99"/>
      <c r="K160" s="99"/>
      <c r="L160" s="46"/>
      <c r="M160" s="6"/>
    </row>
    <row r="161" spans="1:18" ht="18">
      <c r="A161" s="3">
        <v>28</v>
      </c>
      <c r="B161" s="102"/>
      <c r="C161" s="102"/>
      <c r="D161" s="102"/>
      <c r="E161" s="102"/>
      <c r="F161" s="102"/>
      <c r="G161" s="102"/>
      <c r="H161" s="102"/>
      <c r="I161" s="102"/>
      <c r="J161" s="99"/>
      <c r="K161" s="99"/>
      <c r="L161" s="46"/>
      <c r="M161" s="6"/>
    </row>
    <row r="162" spans="1:18">
      <c r="B162" s="102"/>
      <c r="C162" s="102"/>
      <c r="D162" s="102"/>
      <c r="E162" s="102"/>
      <c r="F162" s="102"/>
      <c r="G162" s="102"/>
      <c r="H162" s="102"/>
      <c r="I162" s="102"/>
      <c r="J162" s="99"/>
      <c r="K162" s="99"/>
      <c r="L162" s="46"/>
      <c r="M162" s="6"/>
    </row>
    <row r="163" spans="1:18">
      <c r="B163" s="97"/>
      <c r="C163" s="98"/>
      <c r="D163" s="97"/>
      <c r="E163" s="98"/>
      <c r="F163" s="97"/>
      <c r="G163" s="98"/>
      <c r="H163" s="97"/>
      <c r="I163" s="98"/>
      <c r="J163" s="99"/>
      <c r="K163" s="99"/>
      <c r="L163" s="46"/>
      <c r="M163" s="6"/>
    </row>
    <row r="164" spans="1:18">
      <c r="B164" s="93"/>
      <c r="C164" s="94"/>
      <c r="D164" s="93"/>
      <c r="E164" s="94"/>
      <c r="F164" s="93"/>
      <c r="G164" s="94"/>
      <c r="H164" s="93"/>
      <c r="I164" s="94"/>
      <c r="J164" s="95"/>
      <c r="K164" s="96"/>
      <c r="L164" s="46"/>
      <c r="M164" s="6"/>
    </row>
    <row r="165" spans="1:18">
      <c r="M165" s="6"/>
    </row>
    <row r="166" spans="1:18">
      <c r="B166" s="7" t="str">
        <f>kopsavilkums!$J$2</f>
        <v>Dizšvētku Zolītes finālturnīrs Valkā 2026 (RONDO)</v>
      </c>
    </row>
    <row r="168" spans="1:18">
      <c r="G168" s="41" t="s">
        <v>62</v>
      </c>
      <c r="H168" s="43">
        <f>IF(kopsavilkums!$E$2="","",kopsavilkums!$E$2)</f>
        <v>8</v>
      </c>
    </row>
    <row r="170" spans="1:18">
      <c r="B170" s="110" t="str">
        <f>IF(N170="","",INDEX(kopsavilkums!$C$6:$C$125,N170))</f>
        <v>Andris Loginovs</v>
      </c>
      <c r="C170" s="111"/>
      <c r="D170" s="110" t="str">
        <f>IF(O170="","",INDEX(kopsavilkums!$C$6:$C$125,O170))</f>
        <v>Linda Upmale</v>
      </c>
      <c r="E170" s="111"/>
      <c r="F170" s="110" t="str">
        <f>IF(P170="","",INDEX(kopsavilkums!$C$6:$C$125,P170))</f>
        <v>Fjodors Semjonovs</v>
      </c>
      <c r="G170" s="111"/>
      <c r="H170" s="110" t="str">
        <f>IF(Q170="","",INDEX(kopsavilkums!$C$6:$C$125,Q170))</f>
        <v>Germans Romanovs</v>
      </c>
      <c r="I170" s="111"/>
      <c r="J170" s="110" t="str">
        <f>IF(R170="","",INDEX(kopsavilkums!$C$6:$C$125,R170))</f>
        <v/>
      </c>
      <c r="K170" s="111"/>
      <c r="N170">
        <f>IF(1&gt;IF(5&lt;=(INT(kopsavilkums!$V$2/4)-MOD(kopsavilkums!$V$2,4)),4,IF(5&lt;=INT(kopsavilkums!$V$2/4),5,0)),"",IFERROR(MATCH((IF(5&lt;=(INT(kopsavilkums!$V$2/4)-MOD(kopsavilkums!$V$2,4)),(5-1)*4,(INT(kopsavilkums!$V$2/4)-MOD(kopsavilkums!$V$2,4))*4+(5-(INT(kopsavilkums!$V$2/4)-MOD(kopsavilkums!$V$2,4))-1)*5)+1),kopsavilkums!$X$6:$X$125,0),""))</f>
        <v>17</v>
      </c>
      <c r="O170">
        <f>IF(2&gt;IF(5&lt;=(INT(kopsavilkums!$V$2/4)-MOD(kopsavilkums!$V$2,4)),4,IF(5&lt;=INT(kopsavilkums!$V$2/4),5,0)),"",IFERROR(MATCH((IF(5&lt;=(INT(kopsavilkums!$V$2/4)-MOD(kopsavilkums!$V$2,4)),(5-1)*4,(INT(kopsavilkums!$V$2/4)-MOD(kopsavilkums!$V$2,4))*4+(5-(INT(kopsavilkums!$V$2/4)-MOD(kopsavilkums!$V$2,4))-1)*5)+2),kopsavilkums!$X$6:$X$125,0),""))</f>
        <v>18</v>
      </c>
      <c r="P170">
        <f>IF(3&gt;IF(5&lt;=(INT(kopsavilkums!$V$2/4)-MOD(kopsavilkums!$V$2,4)),4,IF(5&lt;=INT(kopsavilkums!$V$2/4),5,0)),"",IFERROR(MATCH((IF(5&lt;=(INT(kopsavilkums!$V$2/4)-MOD(kopsavilkums!$V$2,4)),(5-1)*4,(INT(kopsavilkums!$V$2/4)-MOD(kopsavilkums!$V$2,4))*4+(5-(INT(kopsavilkums!$V$2/4)-MOD(kopsavilkums!$V$2,4))-1)*5)+3),kopsavilkums!$X$6:$X$125,0),""))</f>
        <v>19</v>
      </c>
      <c r="Q170">
        <f>IF(4&gt;IF(5&lt;=(INT(kopsavilkums!$V$2/4)-MOD(kopsavilkums!$V$2,4)),4,IF(5&lt;=INT(kopsavilkums!$V$2/4),5,0)),"",IFERROR(MATCH((IF(5&lt;=(INT(kopsavilkums!$V$2/4)-MOD(kopsavilkums!$V$2,4)),(5-1)*4,(INT(kopsavilkums!$V$2/4)-MOD(kopsavilkums!$V$2,4))*4+(5-(INT(kopsavilkums!$V$2/4)-MOD(kopsavilkums!$V$2,4))-1)*5)+4),kopsavilkums!$X$6:$X$125,0),""))</f>
        <v>20</v>
      </c>
      <c r="R170" t="str">
        <f>IF(5&gt;IF(5&lt;=(INT(kopsavilkums!$V$2/4)-MOD(kopsavilkums!$V$2,4)),4,IF(5&lt;=INT(kopsavilkums!$V$2/4),5,0)),"",IFERROR(MATCH((IF(5&lt;=(INT(kopsavilkums!$V$2/4)-MOD(kopsavilkums!$V$2,4)),(5-1)*4,(INT(kopsavilkums!$V$2/4)-MOD(kopsavilkums!$V$2,4))*4+(5-(INT(kopsavilkums!$V$2/4)-MOD(kopsavilkums!$V$2,4))-1)*5)+5),kopsavilkums!$X$6:$X$125,0),""))</f>
        <v/>
      </c>
    </row>
    <row r="171" spans="1:18" ht="15.75">
      <c r="A171" s="4" t="s">
        <v>63</v>
      </c>
      <c r="B171" s="105">
        <f>IF(B170="","",5)</f>
        <v>5</v>
      </c>
      <c r="C171" s="105"/>
      <c r="D171" s="105">
        <f>IF(D170="","",5)</f>
        <v>5</v>
      </c>
      <c r="E171" s="105"/>
      <c r="F171" s="105">
        <f>IF(F170="","",5)</f>
        <v>5</v>
      </c>
      <c r="G171" s="105"/>
      <c r="H171" s="105">
        <f>IF(H170="","",5)</f>
        <v>5</v>
      </c>
      <c r="I171" s="105"/>
      <c r="J171" s="107" t="str">
        <f>IF(J170="","",5)</f>
        <v/>
      </c>
      <c r="K171" s="108"/>
    </row>
    <row r="172" spans="1:18" ht="15.75">
      <c r="A172" s="5" t="s">
        <v>64</v>
      </c>
      <c r="B172" s="8">
        <f>IF(N170="","",INDEX(kopsavilkums!$T$6:$T$125,N170))</f>
        <v>25</v>
      </c>
      <c r="C172" s="8">
        <f>IF(N170="","",INDEX(kopsavilkums!$U$6:$U$125,N170))</f>
        <v>34</v>
      </c>
      <c r="D172" s="8">
        <f>IF(O170="","",INDEX(kopsavilkums!$T$6:$T$125,O170))</f>
        <v>25</v>
      </c>
      <c r="E172" s="8">
        <f>IF(O170="","",INDEX(kopsavilkums!$U$6:$U$125,O170))</f>
        <v>-1</v>
      </c>
      <c r="F172" s="8">
        <f>IF(P170="","",INDEX(kopsavilkums!$T$6:$T$125,P170))</f>
        <v>24</v>
      </c>
      <c r="G172" s="8">
        <f>IF(P170="","",INDEX(kopsavilkums!$U$6:$U$125,P170))</f>
        <v>53</v>
      </c>
      <c r="H172" s="8">
        <f>IF(Q170="","",INDEX(kopsavilkums!$T$6:$T$125,Q170))</f>
        <v>24</v>
      </c>
      <c r="I172" s="8">
        <f>IF(Q170="","",INDEX(kopsavilkums!$U$6:$U$125,Q170))</f>
        <v>36</v>
      </c>
      <c r="J172" s="8" t="str">
        <f>IF(R170="","",INDEX(kopsavilkums!$T$6:$T$125,R170))</f>
        <v/>
      </c>
      <c r="K172" s="8" t="str">
        <f>IF(R170="","",INDEX(kopsavilkums!$U$6:$U$125,R170))</f>
        <v/>
      </c>
    </row>
    <row r="173" spans="1:18">
      <c r="L173" s="17" t="s">
        <v>66</v>
      </c>
      <c r="M173" s="18"/>
    </row>
    <row r="174" spans="1:18">
      <c r="M174" s="2"/>
    </row>
    <row r="175" spans="1:18" ht="18">
      <c r="A175" s="3">
        <v>1</v>
      </c>
      <c r="B175" s="102"/>
      <c r="C175" s="102"/>
      <c r="D175" s="102"/>
      <c r="E175" s="102"/>
      <c r="F175" s="102"/>
      <c r="G175" s="102"/>
      <c r="H175" s="102"/>
      <c r="I175" s="102"/>
      <c r="J175" s="99"/>
      <c r="K175" s="99"/>
      <c r="L175" s="46"/>
      <c r="M175" s="6"/>
    </row>
    <row r="176" spans="1:18" ht="18">
      <c r="A176" s="3">
        <v>2</v>
      </c>
      <c r="B176" s="102"/>
      <c r="C176" s="102"/>
      <c r="D176" s="102"/>
      <c r="E176" s="102"/>
      <c r="F176" s="102"/>
      <c r="G176" s="102"/>
      <c r="H176" s="102"/>
      <c r="I176" s="102"/>
      <c r="J176" s="99"/>
      <c r="K176" s="99"/>
      <c r="L176" s="46"/>
      <c r="M176" s="6"/>
    </row>
    <row r="177" spans="1:13" ht="18">
      <c r="A177" s="3">
        <v>3</v>
      </c>
      <c r="B177" s="102"/>
      <c r="C177" s="102"/>
      <c r="D177" s="102"/>
      <c r="E177" s="102"/>
      <c r="F177" s="102"/>
      <c r="G177" s="102"/>
      <c r="H177" s="102"/>
      <c r="I177" s="102"/>
      <c r="J177" s="99"/>
      <c r="K177" s="99"/>
      <c r="L177" s="46"/>
      <c r="M177" s="6"/>
    </row>
    <row r="178" spans="1:13" ht="18">
      <c r="A178" s="3">
        <v>4</v>
      </c>
      <c r="B178" s="102"/>
      <c r="C178" s="102"/>
      <c r="D178" s="102"/>
      <c r="E178" s="102"/>
      <c r="F178" s="102"/>
      <c r="G178" s="102"/>
      <c r="H178" s="102"/>
      <c r="I178" s="102"/>
      <c r="J178" s="99"/>
      <c r="K178" s="99"/>
      <c r="L178" s="46"/>
      <c r="M178" s="6"/>
    </row>
    <row r="179" spans="1:13" ht="18">
      <c r="A179" s="3">
        <v>5</v>
      </c>
      <c r="B179" s="102"/>
      <c r="C179" s="102"/>
      <c r="D179" s="102"/>
      <c r="E179" s="102"/>
      <c r="F179" s="102"/>
      <c r="G179" s="102"/>
      <c r="H179" s="102"/>
      <c r="I179" s="102"/>
      <c r="J179" s="99"/>
      <c r="K179" s="99"/>
      <c r="L179" s="46"/>
      <c r="M179" s="6"/>
    </row>
    <row r="180" spans="1:13" ht="18">
      <c r="A180" s="3">
        <v>6</v>
      </c>
      <c r="B180" s="102"/>
      <c r="C180" s="102"/>
      <c r="D180" s="102"/>
      <c r="E180" s="102"/>
      <c r="F180" s="102"/>
      <c r="G180" s="102"/>
      <c r="H180" s="102"/>
      <c r="I180" s="102"/>
      <c r="J180" s="99"/>
      <c r="K180" s="99"/>
      <c r="L180" s="46"/>
      <c r="M180" s="6"/>
    </row>
    <row r="181" spans="1:13" ht="18">
      <c r="A181" s="3">
        <v>7</v>
      </c>
      <c r="B181" s="102"/>
      <c r="C181" s="102"/>
      <c r="D181" s="102"/>
      <c r="E181" s="102"/>
      <c r="F181" s="102"/>
      <c r="G181" s="102"/>
      <c r="H181" s="102"/>
      <c r="I181" s="102"/>
      <c r="J181" s="99"/>
      <c r="K181" s="99"/>
      <c r="L181" s="46"/>
      <c r="M181" s="6"/>
    </row>
    <row r="182" spans="1:13" ht="18">
      <c r="A182" s="3">
        <v>8</v>
      </c>
      <c r="B182" s="102"/>
      <c r="C182" s="102"/>
      <c r="D182" s="102"/>
      <c r="E182" s="102"/>
      <c r="F182" s="102"/>
      <c r="G182" s="102"/>
      <c r="H182" s="102"/>
      <c r="I182" s="102"/>
      <c r="J182" s="99"/>
      <c r="K182" s="99"/>
      <c r="L182" s="46"/>
      <c r="M182" s="6"/>
    </row>
    <row r="183" spans="1:13" ht="18">
      <c r="A183" s="3">
        <v>9</v>
      </c>
      <c r="B183" s="102"/>
      <c r="C183" s="102"/>
      <c r="D183" s="102"/>
      <c r="E183" s="102"/>
      <c r="F183" s="102"/>
      <c r="G183" s="102"/>
      <c r="H183" s="102"/>
      <c r="I183" s="102"/>
      <c r="J183" s="99"/>
      <c r="K183" s="99"/>
      <c r="L183" s="46"/>
      <c r="M183" s="6"/>
    </row>
    <row r="184" spans="1:13" ht="18">
      <c r="A184" s="3">
        <v>10</v>
      </c>
      <c r="B184" s="102"/>
      <c r="C184" s="102"/>
      <c r="D184" s="102"/>
      <c r="E184" s="102"/>
      <c r="F184" s="102"/>
      <c r="G184" s="102"/>
      <c r="H184" s="102"/>
      <c r="I184" s="102"/>
      <c r="J184" s="99"/>
      <c r="K184" s="99"/>
      <c r="L184" s="46"/>
      <c r="M184" s="6"/>
    </row>
    <row r="185" spans="1:13" ht="18">
      <c r="A185" s="3">
        <v>11</v>
      </c>
      <c r="B185" s="102"/>
      <c r="C185" s="102"/>
      <c r="D185" s="102"/>
      <c r="E185" s="102"/>
      <c r="F185" s="102"/>
      <c r="G185" s="102"/>
      <c r="H185" s="102"/>
      <c r="I185" s="102"/>
      <c r="J185" s="99"/>
      <c r="K185" s="99"/>
      <c r="L185" s="46"/>
      <c r="M185" s="6"/>
    </row>
    <row r="186" spans="1:13" ht="18">
      <c r="A186" s="3">
        <v>12</v>
      </c>
      <c r="B186" s="102"/>
      <c r="C186" s="102"/>
      <c r="D186" s="102"/>
      <c r="E186" s="102"/>
      <c r="F186" s="102"/>
      <c r="G186" s="102"/>
      <c r="H186" s="102"/>
      <c r="I186" s="102"/>
      <c r="J186" s="99"/>
      <c r="K186" s="99"/>
      <c r="L186" s="46"/>
      <c r="M186" s="6"/>
    </row>
    <row r="187" spans="1:13" ht="18">
      <c r="A187" s="3">
        <v>13</v>
      </c>
      <c r="B187" s="102"/>
      <c r="C187" s="102"/>
      <c r="D187" s="102"/>
      <c r="E187" s="102"/>
      <c r="F187" s="102"/>
      <c r="G187" s="102"/>
      <c r="H187" s="102"/>
      <c r="I187" s="102"/>
      <c r="J187" s="99"/>
      <c r="K187" s="99"/>
      <c r="L187" s="46"/>
      <c r="M187" s="6"/>
    </row>
    <row r="188" spans="1:13" ht="18">
      <c r="A188" s="3">
        <v>14</v>
      </c>
      <c r="B188" s="102"/>
      <c r="C188" s="102"/>
      <c r="D188" s="102"/>
      <c r="E188" s="102"/>
      <c r="F188" s="102"/>
      <c r="G188" s="102"/>
      <c r="H188" s="102"/>
      <c r="I188" s="102"/>
      <c r="J188" s="99"/>
      <c r="K188" s="99"/>
      <c r="L188" s="46"/>
      <c r="M188" s="6"/>
    </row>
    <row r="189" spans="1:13" ht="18">
      <c r="A189" s="3">
        <v>15</v>
      </c>
      <c r="B189" s="102"/>
      <c r="C189" s="102"/>
      <c r="D189" s="102"/>
      <c r="E189" s="102"/>
      <c r="F189" s="102"/>
      <c r="G189" s="102"/>
      <c r="H189" s="102"/>
      <c r="I189" s="102"/>
      <c r="J189" s="99"/>
      <c r="K189" s="99"/>
      <c r="L189" s="46"/>
      <c r="M189" s="6"/>
    </row>
    <row r="190" spans="1:13" ht="18">
      <c r="A190" s="3">
        <v>16</v>
      </c>
      <c r="B190" s="102"/>
      <c r="C190" s="102"/>
      <c r="D190" s="102"/>
      <c r="E190" s="102"/>
      <c r="F190" s="102"/>
      <c r="G190" s="102"/>
      <c r="H190" s="102"/>
      <c r="I190" s="102"/>
      <c r="J190" s="99"/>
      <c r="K190" s="99"/>
      <c r="L190" s="46"/>
      <c r="M190" s="6"/>
    </row>
    <row r="191" spans="1:13" ht="18">
      <c r="A191" s="3">
        <v>17</v>
      </c>
      <c r="B191" s="102"/>
      <c r="C191" s="102"/>
      <c r="D191" s="102"/>
      <c r="E191" s="102"/>
      <c r="F191" s="102"/>
      <c r="G191" s="102"/>
      <c r="H191" s="102"/>
      <c r="I191" s="102"/>
      <c r="J191" s="99"/>
      <c r="K191" s="99"/>
      <c r="L191" s="46"/>
      <c r="M191" s="6"/>
    </row>
    <row r="192" spans="1:13" ht="18">
      <c r="A192" s="3">
        <v>18</v>
      </c>
      <c r="B192" s="102"/>
      <c r="C192" s="102"/>
      <c r="D192" s="102"/>
      <c r="E192" s="102"/>
      <c r="F192" s="102"/>
      <c r="G192" s="102"/>
      <c r="H192" s="102"/>
      <c r="I192" s="102"/>
      <c r="J192" s="99"/>
      <c r="K192" s="99"/>
      <c r="L192" s="46"/>
      <c r="M192" s="6"/>
    </row>
    <row r="193" spans="1:13" ht="18">
      <c r="A193" s="3">
        <v>19</v>
      </c>
      <c r="B193" s="102"/>
      <c r="C193" s="102"/>
      <c r="D193" s="102"/>
      <c r="E193" s="102"/>
      <c r="F193" s="102"/>
      <c r="G193" s="102"/>
      <c r="H193" s="102"/>
      <c r="I193" s="102"/>
      <c r="J193" s="99"/>
      <c r="K193" s="99"/>
      <c r="L193" s="46"/>
      <c r="M193" s="6"/>
    </row>
    <row r="194" spans="1:13" ht="18">
      <c r="A194" s="3">
        <v>20</v>
      </c>
      <c r="B194" s="102"/>
      <c r="C194" s="102"/>
      <c r="D194" s="102"/>
      <c r="E194" s="102"/>
      <c r="F194" s="102"/>
      <c r="G194" s="102"/>
      <c r="H194" s="102"/>
      <c r="I194" s="102"/>
      <c r="J194" s="99"/>
      <c r="K194" s="99"/>
      <c r="L194" s="46"/>
      <c r="M194" s="6"/>
    </row>
    <row r="195" spans="1:13" ht="18">
      <c r="A195" s="3">
        <v>21</v>
      </c>
      <c r="B195" s="102"/>
      <c r="C195" s="102"/>
      <c r="D195" s="102"/>
      <c r="E195" s="102"/>
      <c r="F195" s="102"/>
      <c r="G195" s="102"/>
      <c r="H195" s="102"/>
      <c r="I195" s="102"/>
      <c r="J195" s="99"/>
      <c r="K195" s="99"/>
      <c r="L195" s="46"/>
      <c r="M195" s="6"/>
    </row>
    <row r="196" spans="1:13" ht="18">
      <c r="A196" s="3">
        <v>22</v>
      </c>
      <c r="B196" s="102"/>
      <c r="C196" s="102"/>
      <c r="D196" s="102"/>
      <c r="E196" s="102"/>
      <c r="F196" s="102"/>
      <c r="G196" s="102"/>
      <c r="H196" s="102"/>
      <c r="I196" s="102"/>
      <c r="J196" s="99"/>
      <c r="K196" s="99"/>
      <c r="L196" s="46"/>
      <c r="M196" s="6"/>
    </row>
    <row r="197" spans="1:13" ht="18">
      <c r="A197" s="3">
        <v>23</v>
      </c>
      <c r="B197" s="102"/>
      <c r="C197" s="102"/>
      <c r="D197" s="102"/>
      <c r="E197" s="102"/>
      <c r="F197" s="102"/>
      <c r="G197" s="102"/>
      <c r="H197" s="102"/>
      <c r="I197" s="102"/>
      <c r="J197" s="99"/>
      <c r="K197" s="99"/>
      <c r="L197" s="46"/>
      <c r="M197" s="6"/>
    </row>
    <row r="198" spans="1:13" ht="18">
      <c r="A198" s="3">
        <v>24</v>
      </c>
      <c r="B198" s="102"/>
      <c r="C198" s="102"/>
      <c r="D198" s="102"/>
      <c r="E198" s="102"/>
      <c r="F198" s="102"/>
      <c r="G198" s="102"/>
      <c r="H198" s="102"/>
      <c r="I198" s="102"/>
      <c r="J198" s="99"/>
      <c r="K198" s="99"/>
      <c r="L198" s="46"/>
      <c r="M198" s="6"/>
    </row>
    <row r="199" spans="1:13" ht="18">
      <c r="A199" s="3">
        <v>25</v>
      </c>
      <c r="B199" s="102"/>
      <c r="C199" s="102"/>
      <c r="D199" s="102"/>
      <c r="E199" s="102"/>
      <c r="F199" s="102"/>
      <c r="G199" s="102"/>
      <c r="H199" s="102"/>
      <c r="I199" s="102"/>
      <c r="J199" s="99"/>
      <c r="K199" s="99"/>
      <c r="L199" s="46"/>
      <c r="M199" s="6"/>
    </row>
    <row r="200" spans="1:13" ht="18">
      <c r="A200" s="3">
        <v>26</v>
      </c>
      <c r="B200" s="102"/>
      <c r="C200" s="102"/>
      <c r="D200" s="102"/>
      <c r="E200" s="102"/>
      <c r="F200" s="102"/>
      <c r="G200" s="102"/>
      <c r="H200" s="102"/>
      <c r="I200" s="102"/>
      <c r="J200" s="99"/>
      <c r="K200" s="99"/>
      <c r="L200" s="46"/>
      <c r="M200" s="6"/>
    </row>
    <row r="201" spans="1:13" ht="18">
      <c r="A201" s="3">
        <v>27</v>
      </c>
      <c r="B201" s="102"/>
      <c r="C201" s="102"/>
      <c r="D201" s="102"/>
      <c r="E201" s="102"/>
      <c r="F201" s="102"/>
      <c r="G201" s="102"/>
      <c r="H201" s="102"/>
      <c r="I201" s="102"/>
      <c r="J201" s="99"/>
      <c r="K201" s="99"/>
      <c r="L201" s="46"/>
      <c r="M201" s="6"/>
    </row>
    <row r="202" spans="1:13" ht="18">
      <c r="A202" s="3">
        <v>28</v>
      </c>
      <c r="B202" s="102"/>
      <c r="C202" s="102"/>
      <c r="D202" s="102"/>
      <c r="E202" s="102"/>
      <c r="F202" s="102"/>
      <c r="G202" s="102"/>
      <c r="H202" s="102"/>
      <c r="I202" s="102"/>
      <c r="J202" s="99"/>
      <c r="K202" s="99"/>
      <c r="L202" s="46"/>
      <c r="M202" s="6"/>
    </row>
    <row r="203" spans="1:13">
      <c r="B203" s="102"/>
      <c r="C203" s="102"/>
      <c r="D203" s="102"/>
      <c r="E203" s="102"/>
      <c r="F203" s="102"/>
      <c r="G203" s="102"/>
      <c r="H203" s="102"/>
      <c r="I203" s="102"/>
      <c r="J203" s="99"/>
      <c r="K203" s="99"/>
      <c r="L203" s="46"/>
      <c r="M203" s="6"/>
    </row>
    <row r="204" spans="1:13">
      <c r="B204" s="97"/>
      <c r="C204" s="98"/>
      <c r="D204" s="97"/>
      <c r="E204" s="98"/>
      <c r="F204" s="97"/>
      <c r="G204" s="98"/>
      <c r="H204" s="97"/>
      <c r="I204" s="98"/>
      <c r="J204" s="99"/>
      <c r="K204" s="99"/>
      <c r="L204" s="46"/>
      <c r="M204" s="6"/>
    </row>
    <row r="205" spans="1:13">
      <c r="B205" s="93"/>
      <c r="C205" s="94"/>
      <c r="D205" s="93"/>
      <c r="E205" s="94"/>
      <c r="F205" s="93"/>
      <c r="G205" s="94"/>
      <c r="H205" s="93"/>
      <c r="I205" s="94"/>
      <c r="J205" s="95"/>
      <c r="K205" s="96"/>
      <c r="L205" s="46"/>
      <c r="M205" s="6"/>
    </row>
    <row r="206" spans="1:13">
      <c r="M206" s="6"/>
    </row>
    <row r="207" spans="1:13">
      <c r="B207" s="7" t="str">
        <f>kopsavilkums!$J$2</f>
        <v>Dizšvētku Zolītes finālturnīrs Valkā 2026 (RONDO)</v>
      </c>
    </row>
    <row r="209" spans="1:18">
      <c r="G209" s="41" t="s">
        <v>62</v>
      </c>
      <c r="H209" s="43">
        <f>IF(kopsavilkums!$E$2="","",kopsavilkums!$E$2)</f>
        <v>8</v>
      </c>
    </row>
    <row r="211" spans="1:18">
      <c r="B211" s="110" t="str">
        <f>IF(N211="","",INDEX(kopsavilkums!$C$6:$C$125,N211))</f>
        <v>V. A. Krauklis</v>
      </c>
      <c r="C211" s="111"/>
      <c r="D211" s="110" t="str">
        <f>IF(O211="","",INDEX(kopsavilkums!$C$6:$C$125,O211))</f>
        <v>Andris Mugurēvičs</v>
      </c>
      <c r="E211" s="111"/>
      <c r="F211" s="110" t="str">
        <f>IF(P211="","",INDEX(kopsavilkums!$C$6:$C$125,P211))</f>
        <v>Dainis Stollers</v>
      </c>
      <c r="G211" s="111"/>
      <c r="H211" s="110" t="str">
        <f>IF(Q211="","",INDEX(kopsavilkums!$C$6:$C$125,Q211))</f>
        <v>Vilnis Pelcers</v>
      </c>
      <c r="I211" s="111"/>
      <c r="J211" s="110" t="str">
        <f>IF(R211="","",INDEX(kopsavilkums!$C$6:$C$125,R211))</f>
        <v/>
      </c>
      <c r="K211" s="111"/>
      <c r="N211">
        <f>IF(1&gt;IF(6&lt;=(INT(kopsavilkums!$V$2/4)-MOD(kopsavilkums!$V$2,4)),4,IF(6&lt;=INT(kopsavilkums!$V$2/4),5,0)),"",IFERROR(MATCH((IF(6&lt;=(INT(kopsavilkums!$V$2/4)-MOD(kopsavilkums!$V$2,4)),(6-1)*4,(INT(kopsavilkums!$V$2/4)-MOD(kopsavilkums!$V$2,4))*4+(6-(INT(kopsavilkums!$V$2/4)-MOD(kopsavilkums!$V$2,4))-1)*5)+1),kopsavilkums!$X$6:$X$125,0),""))</f>
        <v>21</v>
      </c>
      <c r="O211">
        <f>IF(2&gt;IF(6&lt;=(INT(kopsavilkums!$V$2/4)-MOD(kopsavilkums!$V$2,4)),4,IF(6&lt;=INT(kopsavilkums!$V$2/4),5,0)),"",IFERROR(MATCH((IF(6&lt;=(INT(kopsavilkums!$V$2/4)-MOD(kopsavilkums!$V$2,4)),(6-1)*4,(INT(kopsavilkums!$V$2/4)-MOD(kopsavilkums!$V$2,4))*4+(6-(INT(kopsavilkums!$V$2/4)-MOD(kopsavilkums!$V$2,4))-1)*5)+2),kopsavilkums!$X$6:$X$125,0),""))</f>
        <v>22</v>
      </c>
      <c r="P211">
        <f>IF(3&gt;IF(6&lt;=(INT(kopsavilkums!$V$2/4)-MOD(kopsavilkums!$V$2,4)),4,IF(6&lt;=INT(kopsavilkums!$V$2/4),5,0)),"",IFERROR(MATCH((IF(6&lt;=(INT(kopsavilkums!$V$2/4)-MOD(kopsavilkums!$V$2,4)),(6-1)*4,(INT(kopsavilkums!$V$2/4)-MOD(kopsavilkums!$V$2,4))*4+(6-(INT(kopsavilkums!$V$2/4)-MOD(kopsavilkums!$V$2,4))-1)*5)+3),kopsavilkums!$X$6:$X$125,0),""))</f>
        <v>23</v>
      </c>
      <c r="Q211">
        <f>IF(4&gt;IF(6&lt;=(INT(kopsavilkums!$V$2/4)-MOD(kopsavilkums!$V$2,4)),4,IF(6&lt;=INT(kopsavilkums!$V$2/4),5,0)),"",IFERROR(MATCH((IF(6&lt;=(INT(kopsavilkums!$V$2/4)-MOD(kopsavilkums!$V$2,4)),(6-1)*4,(INT(kopsavilkums!$V$2/4)-MOD(kopsavilkums!$V$2,4))*4+(6-(INT(kopsavilkums!$V$2/4)-MOD(kopsavilkums!$V$2,4))-1)*5)+4),kopsavilkums!$X$6:$X$125,0),""))</f>
        <v>24</v>
      </c>
      <c r="R211" t="str">
        <f>IF(5&gt;IF(6&lt;=(INT(kopsavilkums!$V$2/4)-MOD(kopsavilkums!$V$2,4)),4,IF(6&lt;=INT(kopsavilkums!$V$2/4),5,0)),"",IFERROR(MATCH((IF(6&lt;=(INT(kopsavilkums!$V$2/4)-MOD(kopsavilkums!$V$2,4)),(6-1)*4,(INT(kopsavilkums!$V$2/4)-MOD(kopsavilkums!$V$2,4))*4+(6-(INT(kopsavilkums!$V$2/4)-MOD(kopsavilkums!$V$2,4))-1)*5)+5),kopsavilkums!$X$6:$X$125,0),""))</f>
        <v/>
      </c>
    </row>
    <row r="212" spans="1:18" ht="15.75">
      <c r="A212" s="4" t="s">
        <v>63</v>
      </c>
      <c r="B212" s="105">
        <f>IF(B211="","",6)</f>
        <v>6</v>
      </c>
      <c r="C212" s="105"/>
      <c r="D212" s="105">
        <f>IF(D211="","",6)</f>
        <v>6</v>
      </c>
      <c r="E212" s="105"/>
      <c r="F212" s="105">
        <f>IF(F211="","",6)</f>
        <v>6</v>
      </c>
      <c r="G212" s="105"/>
      <c r="H212" s="105">
        <f>IF(H211="","",6)</f>
        <v>6</v>
      </c>
      <c r="I212" s="105"/>
      <c r="J212" s="107" t="str">
        <f>IF(J211="","",6)</f>
        <v/>
      </c>
      <c r="K212" s="108"/>
    </row>
    <row r="213" spans="1:18" ht="15.75">
      <c r="A213" s="5" t="s">
        <v>64</v>
      </c>
      <c r="B213" s="8">
        <f>IF(N211="","",INDEX(kopsavilkums!$T$6:$T$125,N211))</f>
        <v>24</v>
      </c>
      <c r="C213" s="8">
        <f>IF(N211="","",INDEX(kopsavilkums!$U$6:$U$125,N211))</f>
        <v>35</v>
      </c>
      <c r="D213" s="8">
        <f>IF(O211="","",INDEX(kopsavilkums!$T$6:$T$125,O211))</f>
        <v>24</v>
      </c>
      <c r="E213" s="8">
        <f>IF(O211="","",INDEX(kopsavilkums!$U$6:$U$125,O211))</f>
        <v>27</v>
      </c>
      <c r="F213" s="8">
        <f>IF(P211="","",INDEX(kopsavilkums!$T$6:$T$125,P211))</f>
        <v>24</v>
      </c>
      <c r="G213" s="8">
        <f>IF(P211="","",INDEX(kopsavilkums!$U$6:$U$125,P211))</f>
        <v>19</v>
      </c>
      <c r="H213" s="8">
        <f>IF(Q211="","",INDEX(kopsavilkums!$T$6:$T$125,Q211))</f>
        <v>24</v>
      </c>
      <c r="I213" s="8">
        <f>IF(Q211="","",INDEX(kopsavilkums!$U$6:$U$125,Q211))</f>
        <v>-6</v>
      </c>
      <c r="J213" s="8" t="str">
        <f>IF(R211="","",INDEX(kopsavilkums!$T$6:$T$125,R211))</f>
        <v/>
      </c>
      <c r="K213" s="8" t="str">
        <f>IF(R211="","",INDEX(kopsavilkums!$U$6:$U$125,R211))</f>
        <v/>
      </c>
    </row>
    <row r="214" spans="1:18">
      <c r="L214" s="17" t="s">
        <v>66</v>
      </c>
      <c r="M214" s="18"/>
    </row>
    <row r="215" spans="1:18">
      <c r="M215" s="2"/>
    </row>
    <row r="216" spans="1:18" ht="18">
      <c r="A216" s="3">
        <v>1</v>
      </c>
      <c r="B216" s="102"/>
      <c r="C216" s="102"/>
      <c r="D216" s="102"/>
      <c r="E216" s="102"/>
      <c r="F216" s="102"/>
      <c r="G216" s="102"/>
      <c r="H216" s="102"/>
      <c r="I216" s="102"/>
      <c r="J216" s="99"/>
      <c r="K216" s="99"/>
      <c r="L216" s="46"/>
      <c r="M216" s="6"/>
    </row>
    <row r="217" spans="1:18" ht="18">
      <c r="A217" s="3">
        <v>2</v>
      </c>
      <c r="B217" s="102"/>
      <c r="C217" s="102"/>
      <c r="D217" s="102"/>
      <c r="E217" s="102"/>
      <c r="F217" s="102"/>
      <c r="G217" s="102"/>
      <c r="H217" s="102"/>
      <c r="I217" s="102"/>
      <c r="J217" s="99"/>
      <c r="K217" s="99"/>
      <c r="L217" s="46"/>
      <c r="M217" s="6"/>
    </row>
    <row r="218" spans="1:18" ht="18">
      <c r="A218" s="3">
        <v>3</v>
      </c>
      <c r="B218" s="102"/>
      <c r="C218" s="102"/>
      <c r="D218" s="102"/>
      <c r="E218" s="102"/>
      <c r="F218" s="102"/>
      <c r="G218" s="102"/>
      <c r="H218" s="102"/>
      <c r="I218" s="102"/>
      <c r="J218" s="99"/>
      <c r="K218" s="99"/>
      <c r="L218" s="46"/>
      <c r="M218" s="6"/>
    </row>
    <row r="219" spans="1:18" ht="18">
      <c r="A219" s="3">
        <v>4</v>
      </c>
      <c r="B219" s="102"/>
      <c r="C219" s="102"/>
      <c r="D219" s="102"/>
      <c r="E219" s="102"/>
      <c r="F219" s="102"/>
      <c r="G219" s="102"/>
      <c r="H219" s="102"/>
      <c r="I219" s="102"/>
      <c r="J219" s="99"/>
      <c r="K219" s="99"/>
      <c r="L219" s="46"/>
      <c r="M219" s="6"/>
    </row>
    <row r="220" spans="1:18" ht="18">
      <c r="A220" s="3">
        <v>5</v>
      </c>
      <c r="B220" s="102"/>
      <c r="C220" s="102"/>
      <c r="D220" s="102"/>
      <c r="E220" s="102"/>
      <c r="F220" s="102"/>
      <c r="G220" s="102"/>
      <c r="H220" s="102"/>
      <c r="I220" s="102"/>
      <c r="J220" s="99"/>
      <c r="K220" s="99"/>
      <c r="L220" s="46"/>
      <c r="M220" s="6"/>
    </row>
    <row r="221" spans="1:18" ht="18">
      <c r="A221" s="3">
        <v>6</v>
      </c>
      <c r="B221" s="102"/>
      <c r="C221" s="102"/>
      <c r="D221" s="102"/>
      <c r="E221" s="102"/>
      <c r="F221" s="102"/>
      <c r="G221" s="102"/>
      <c r="H221" s="102"/>
      <c r="I221" s="102"/>
      <c r="J221" s="99"/>
      <c r="K221" s="99"/>
      <c r="L221" s="46"/>
      <c r="M221" s="6"/>
    </row>
    <row r="222" spans="1:18" ht="18">
      <c r="A222" s="3">
        <v>7</v>
      </c>
      <c r="B222" s="102"/>
      <c r="C222" s="102"/>
      <c r="D222" s="102"/>
      <c r="E222" s="102"/>
      <c r="F222" s="102"/>
      <c r="G222" s="102"/>
      <c r="H222" s="102"/>
      <c r="I222" s="102"/>
      <c r="J222" s="99"/>
      <c r="K222" s="99"/>
      <c r="L222" s="46"/>
      <c r="M222" s="6"/>
    </row>
    <row r="223" spans="1:18" ht="18">
      <c r="A223" s="3">
        <v>8</v>
      </c>
      <c r="B223" s="102"/>
      <c r="C223" s="102"/>
      <c r="D223" s="102"/>
      <c r="E223" s="102"/>
      <c r="F223" s="102"/>
      <c r="G223" s="102"/>
      <c r="H223" s="102"/>
      <c r="I223" s="102"/>
      <c r="J223" s="99"/>
      <c r="K223" s="99"/>
      <c r="L223" s="46"/>
      <c r="M223" s="6"/>
    </row>
    <row r="224" spans="1:18" ht="18">
      <c r="A224" s="3">
        <v>9</v>
      </c>
      <c r="B224" s="102"/>
      <c r="C224" s="102"/>
      <c r="D224" s="102"/>
      <c r="E224" s="102"/>
      <c r="F224" s="102"/>
      <c r="G224" s="102"/>
      <c r="H224" s="102"/>
      <c r="I224" s="102"/>
      <c r="J224" s="99"/>
      <c r="K224" s="99"/>
      <c r="L224" s="46"/>
      <c r="M224" s="6"/>
    </row>
    <row r="225" spans="1:13" ht="18">
      <c r="A225" s="3">
        <v>10</v>
      </c>
      <c r="B225" s="102"/>
      <c r="C225" s="102"/>
      <c r="D225" s="102"/>
      <c r="E225" s="102"/>
      <c r="F225" s="102"/>
      <c r="G225" s="102"/>
      <c r="H225" s="102"/>
      <c r="I225" s="102"/>
      <c r="J225" s="99"/>
      <c r="K225" s="99"/>
      <c r="L225" s="46"/>
      <c r="M225" s="6"/>
    </row>
    <row r="226" spans="1:13" ht="18">
      <c r="A226" s="3">
        <v>11</v>
      </c>
      <c r="B226" s="102"/>
      <c r="C226" s="102"/>
      <c r="D226" s="102"/>
      <c r="E226" s="102"/>
      <c r="F226" s="102"/>
      <c r="G226" s="102"/>
      <c r="H226" s="102"/>
      <c r="I226" s="102"/>
      <c r="J226" s="99"/>
      <c r="K226" s="99"/>
      <c r="L226" s="46"/>
      <c r="M226" s="6"/>
    </row>
    <row r="227" spans="1:13" ht="18">
      <c r="A227" s="3">
        <v>12</v>
      </c>
      <c r="B227" s="102"/>
      <c r="C227" s="102"/>
      <c r="D227" s="102"/>
      <c r="E227" s="102"/>
      <c r="F227" s="102"/>
      <c r="G227" s="102"/>
      <c r="H227" s="102"/>
      <c r="I227" s="102"/>
      <c r="J227" s="99"/>
      <c r="K227" s="99"/>
      <c r="L227" s="46"/>
      <c r="M227" s="6"/>
    </row>
    <row r="228" spans="1:13" ht="18">
      <c r="A228" s="3">
        <v>13</v>
      </c>
      <c r="B228" s="102"/>
      <c r="C228" s="102"/>
      <c r="D228" s="102"/>
      <c r="E228" s="102"/>
      <c r="F228" s="102"/>
      <c r="G228" s="102"/>
      <c r="H228" s="102"/>
      <c r="I228" s="102"/>
      <c r="J228" s="99"/>
      <c r="K228" s="99"/>
      <c r="L228" s="46"/>
      <c r="M228" s="6"/>
    </row>
    <row r="229" spans="1:13" ht="18">
      <c r="A229" s="3">
        <v>14</v>
      </c>
      <c r="B229" s="102"/>
      <c r="C229" s="102"/>
      <c r="D229" s="102"/>
      <c r="E229" s="102"/>
      <c r="F229" s="102"/>
      <c r="G229" s="102"/>
      <c r="H229" s="102"/>
      <c r="I229" s="102"/>
      <c r="J229" s="99"/>
      <c r="K229" s="99"/>
      <c r="L229" s="46"/>
      <c r="M229" s="6"/>
    </row>
    <row r="230" spans="1:13" ht="18">
      <c r="A230" s="3">
        <v>15</v>
      </c>
      <c r="B230" s="102"/>
      <c r="C230" s="102"/>
      <c r="D230" s="102"/>
      <c r="E230" s="102"/>
      <c r="F230" s="102"/>
      <c r="G230" s="102"/>
      <c r="H230" s="102"/>
      <c r="I230" s="102"/>
      <c r="J230" s="99"/>
      <c r="K230" s="99"/>
      <c r="L230" s="46"/>
      <c r="M230" s="6"/>
    </row>
    <row r="231" spans="1:13" ht="18">
      <c r="A231" s="3">
        <v>16</v>
      </c>
      <c r="B231" s="102"/>
      <c r="C231" s="102"/>
      <c r="D231" s="102"/>
      <c r="E231" s="102"/>
      <c r="F231" s="102"/>
      <c r="G231" s="102"/>
      <c r="H231" s="102"/>
      <c r="I231" s="102"/>
      <c r="J231" s="99"/>
      <c r="K231" s="99"/>
      <c r="L231" s="46"/>
      <c r="M231" s="6"/>
    </row>
    <row r="232" spans="1:13" ht="18">
      <c r="A232" s="3">
        <v>17</v>
      </c>
      <c r="B232" s="102"/>
      <c r="C232" s="102"/>
      <c r="D232" s="102"/>
      <c r="E232" s="102"/>
      <c r="F232" s="102"/>
      <c r="G232" s="102"/>
      <c r="H232" s="102"/>
      <c r="I232" s="102"/>
      <c r="J232" s="99"/>
      <c r="K232" s="99"/>
      <c r="L232" s="46"/>
      <c r="M232" s="6"/>
    </row>
    <row r="233" spans="1:13" ht="18">
      <c r="A233" s="3">
        <v>18</v>
      </c>
      <c r="B233" s="102"/>
      <c r="C233" s="102"/>
      <c r="D233" s="102"/>
      <c r="E233" s="102"/>
      <c r="F233" s="102"/>
      <c r="G233" s="102"/>
      <c r="H233" s="102"/>
      <c r="I233" s="102"/>
      <c r="J233" s="99"/>
      <c r="K233" s="99"/>
      <c r="L233" s="46"/>
      <c r="M233" s="6"/>
    </row>
    <row r="234" spans="1:13" ht="18">
      <c r="A234" s="3">
        <v>19</v>
      </c>
      <c r="B234" s="102"/>
      <c r="C234" s="102"/>
      <c r="D234" s="102"/>
      <c r="E234" s="102"/>
      <c r="F234" s="102"/>
      <c r="G234" s="102"/>
      <c r="H234" s="102"/>
      <c r="I234" s="102"/>
      <c r="J234" s="99"/>
      <c r="K234" s="99"/>
      <c r="L234" s="46"/>
      <c r="M234" s="6"/>
    </row>
    <row r="235" spans="1:13" ht="18">
      <c r="A235" s="3">
        <v>20</v>
      </c>
      <c r="B235" s="102"/>
      <c r="C235" s="102"/>
      <c r="D235" s="102"/>
      <c r="E235" s="102"/>
      <c r="F235" s="102"/>
      <c r="G235" s="102"/>
      <c r="H235" s="102"/>
      <c r="I235" s="102"/>
      <c r="J235" s="99"/>
      <c r="K235" s="99"/>
      <c r="L235" s="46"/>
      <c r="M235" s="6"/>
    </row>
    <row r="236" spans="1:13" ht="18">
      <c r="A236" s="3">
        <v>21</v>
      </c>
      <c r="B236" s="102"/>
      <c r="C236" s="102"/>
      <c r="D236" s="102"/>
      <c r="E236" s="102"/>
      <c r="F236" s="102"/>
      <c r="G236" s="102"/>
      <c r="H236" s="102"/>
      <c r="I236" s="102"/>
      <c r="J236" s="99"/>
      <c r="K236" s="99"/>
      <c r="L236" s="46"/>
      <c r="M236" s="6"/>
    </row>
    <row r="237" spans="1:13" ht="18">
      <c r="A237" s="3">
        <v>22</v>
      </c>
      <c r="B237" s="102"/>
      <c r="C237" s="102"/>
      <c r="D237" s="102"/>
      <c r="E237" s="102"/>
      <c r="F237" s="102"/>
      <c r="G237" s="102"/>
      <c r="H237" s="102"/>
      <c r="I237" s="102"/>
      <c r="J237" s="99"/>
      <c r="K237" s="99"/>
      <c r="L237" s="46"/>
      <c r="M237" s="6"/>
    </row>
    <row r="238" spans="1:13" ht="18">
      <c r="A238" s="3">
        <v>23</v>
      </c>
      <c r="B238" s="102"/>
      <c r="C238" s="102"/>
      <c r="D238" s="102"/>
      <c r="E238" s="102"/>
      <c r="F238" s="102"/>
      <c r="G238" s="102"/>
      <c r="H238" s="102"/>
      <c r="I238" s="102"/>
      <c r="J238" s="99"/>
      <c r="K238" s="99"/>
      <c r="L238" s="46"/>
      <c r="M238" s="6"/>
    </row>
    <row r="239" spans="1:13" ht="18">
      <c r="A239" s="3">
        <v>24</v>
      </c>
      <c r="B239" s="102"/>
      <c r="C239" s="102"/>
      <c r="D239" s="102"/>
      <c r="E239" s="102"/>
      <c r="F239" s="102"/>
      <c r="G239" s="102"/>
      <c r="H239" s="102"/>
      <c r="I239" s="102"/>
      <c r="J239" s="99"/>
      <c r="K239" s="99"/>
      <c r="L239" s="46"/>
      <c r="M239" s="6"/>
    </row>
    <row r="240" spans="1:13" ht="18">
      <c r="A240" s="3">
        <v>25</v>
      </c>
      <c r="B240" s="102"/>
      <c r="C240" s="102"/>
      <c r="D240" s="102"/>
      <c r="E240" s="102"/>
      <c r="F240" s="102"/>
      <c r="G240" s="102"/>
      <c r="H240" s="102"/>
      <c r="I240" s="102"/>
      <c r="J240" s="99"/>
      <c r="K240" s="99"/>
      <c r="L240" s="46"/>
      <c r="M240" s="6"/>
    </row>
    <row r="241" spans="1:18" ht="18">
      <c r="A241" s="3">
        <v>26</v>
      </c>
      <c r="B241" s="102"/>
      <c r="C241" s="102"/>
      <c r="D241" s="102"/>
      <c r="E241" s="102"/>
      <c r="F241" s="102"/>
      <c r="G241" s="102"/>
      <c r="H241" s="102"/>
      <c r="I241" s="102"/>
      <c r="J241" s="99"/>
      <c r="K241" s="99"/>
      <c r="L241" s="46"/>
      <c r="M241" s="6"/>
    </row>
    <row r="242" spans="1:18" ht="18">
      <c r="A242" s="3">
        <v>27</v>
      </c>
      <c r="B242" s="102"/>
      <c r="C242" s="102"/>
      <c r="D242" s="102"/>
      <c r="E242" s="102"/>
      <c r="F242" s="102"/>
      <c r="G242" s="102"/>
      <c r="H242" s="102"/>
      <c r="I242" s="102"/>
      <c r="J242" s="99"/>
      <c r="K242" s="99"/>
      <c r="L242" s="46"/>
      <c r="M242" s="6"/>
    </row>
    <row r="243" spans="1:18" ht="18">
      <c r="A243" s="3">
        <v>28</v>
      </c>
      <c r="B243" s="102"/>
      <c r="C243" s="102"/>
      <c r="D243" s="102"/>
      <c r="E243" s="102"/>
      <c r="F243" s="102"/>
      <c r="G243" s="102"/>
      <c r="H243" s="102"/>
      <c r="I243" s="102"/>
      <c r="J243" s="99"/>
      <c r="K243" s="99"/>
      <c r="L243" s="46"/>
      <c r="M243" s="6"/>
    </row>
    <row r="244" spans="1:18">
      <c r="B244" s="102"/>
      <c r="C244" s="102"/>
      <c r="D244" s="102"/>
      <c r="E244" s="102"/>
      <c r="F244" s="102"/>
      <c r="G244" s="102"/>
      <c r="H244" s="102"/>
      <c r="I244" s="102"/>
      <c r="J244" s="99"/>
      <c r="K244" s="99"/>
      <c r="L244" s="46"/>
      <c r="M244" s="6"/>
    </row>
    <row r="245" spans="1:18">
      <c r="B245" s="97"/>
      <c r="C245" s="98"/>
      <c r="D245" s="97"/>
      <c r="E245" s="98"/>
      <c r="F245" s="97"/>
      <c r="G245" s="98"/>
      <c r="H245" s="97"/>
      <c r="I245" s="98"/>
      <c r="J245" s="99"/>
      <c r="K245" s="99"/>
      <c r="L245" s="46"/>
      <c r="M245" s="6"/>
    </row>
    <row r="246" spans="1:18">
      <c r="B246" s="93"/>
      <c r="C246" s="94"/>
      <c r="D246" s="93"/>
      <c r="E246" s="94"/>
      <c r="F246" s="93"/>
      <c r="G246" s="94"/>
      <c r="H246" s="93"/>
      <c r="I246" s="94"/>
      <c r="J246" s="95"/>
      <c r="K246" s="96"/>
      <c r="L246" s="46"/>
      <c r="M246" s="6"/>
    </row>
    <row r="247" spans="1:18">
      <c r="M247" s="6"/>
    </row>
    <row r="248" spans="1:18">
      <c r="B248" s="7" t="str">
        <f>kopsavilkums!$J$2</f>
        <v>Dizšvētku Zolītes finālturnīrs Valkā 2026 (RONDO)</v>
      </c>
    </row>
    <row r="250" spans="1:18">
      <c r="G250" s="41" t="s">
        <v>62</v>
      </c>
      <c r="H250" s="43">
        <f>IF(kopsavilkums!$E$2="","",kopsavilkums!$E$2)</f>
        <v>8</v>
      </c>
    </row>
    <row r="252" spans="1:18">
      <c r="B252" s="110" t="str">
        <f>IF(N252="","",INDEX(kopsavilkums!$C$6:$C$125,N252))</f>
        <v>Andris Ponciuss</v>
      </c>
      <c r="C252" s="111"/>
      <c r="D252" s="110" t="str">
        <f>IF(O252="","",INDEX(kopsavilkums!$C$6:$C$125,O252))</f>
        <v>Ivars Vilemsons</v>
      </c>
      <c r="E252" s="111"/>
      <c r="F252" s="110" t="str">
        <f>IF(P252="","",INDEX(kopsavilkums!$C$6:$C$125,P252))</f>
        <v>Normunds Dāvidsons</v>
      </c>
      <c r="G252" s="111"/>
      <c r="H252" s="110" t="str">
        <f>IF(Q252="","",INDEX(kopsavilkums!$C$6:$C$125,Q252))</f>
        <v>Agris Bergmanis</v>
      </c>
      <c r="I252" s="111"/>
      <c r="J252" s="110" t="str">
        <f>IF(R252="","",INDEX(kopsavilkums!$C$6:$C$125,R252))</f>
        <v/>
      </c>
      <c r="K252" s="111"/>
      <c r="N252">
        <f>IF(1&gt;IF(7&lt;=(INT(kopsavilkums!$V$2/4)-MOD(kopsavilkums!$V$2,4)),4,IF(7&lt;=INT(kopsavilkums!$V$2/4),5,0)),"",IFERROR(MATCH((IF(7&lt;=(INT(kopsavilkums!$V$2/4)-MOD(kopsavilkums!$V$2,4)),(7-1)*4,(INT(kopsavilkums!$V$2/4)-MOD(kopsavilkums!$V$2,4))*4+(7-(INT(kopsavilkums!$V$2/4)-MOD(kopsavilkums!$V$2,4))-1)*5)+1),kopsavilkums!$X$6:$X$125,0),""))</f>
        <v>25</v>
      </c>
      <c r="O252">
        <f>IF(2&gt;IF(7&lt;=(INT(kopsavilkums!$V$2/4)-MOD(kopsavilkums!$V$2,4)),4,IF(7&lt;=INT(kopsavilkums!$V$2/4),5,0)),"",IFERROR(MATCH((IF(7&lt;=(INT(kopsavilkums!$V$2/4)-MOD(kopsavilkums!$V$2,4)),(7-1)*4,(INT(kopsavilkums!$V$2/4)-MOD(kopsavilkums!$V$2,4))*4+(7-(INT(kopsavilkums!$V$2/4)-MOD(kopsavilkums!$V$2,4))-1)*5)+2),kopsavilkums!$X$6:$X$125,0),""))</f>
        <v>26</v>
      </c>
      <c r="P252">
        <f>IF(3&gt;IF(7&lt;=(INT(kopsavilkums!$V$2/4)-MOD(kopsavilkums!$V$2,4)),4,IF(7&lt;=INT(kopsavilkums!$V$2/4),5,0)),"",IFERROR(MATCH((IF(7&lt;=(INT(kopsavilkums!$V$2/4)-MOD(kopsavilkums!$V$2,4)),(7-1)*4,(INT(kopsavilkums!$V$2/4)-MOD(kopsavilkums!$V$2,4))*4+(7-(INT(kopsavilkums!$V$2/4)-MOD(kopsavilkums!$V$2,4))-1)*5)+3),kopsavilkums!$X$6:$X$125,0),""))</f>
        <v>27</v>
      </c>
      <c r="Q252">
        <f>IF(4&gt;IF(7&lt;=(INT(kopsavilkums!$V$2/4)-MOD(kopsavilkums!$V$2,4)),4,IF(7&lt;=INT(kopsavilkums!$V$2/4),5,0)),"",IFERROR(MATCH((IF(7&lt;=(INT(kopsavilkums!$V$2/4)-MOD(kopsavilkums!$V$2,4)),(7-1)*4,(INT(kopsavilkums!$V$2/4)-MOD(kopsavilkums!$V$2,4))*4+(7-(INT(kopsavilkums!$V$2/4)-MOD(kopsavilkums!$V$2,4))-1)*5)+4),kopsavilkums!$X$6:$X$125,0),""))</f>
        <v>28</v>
      </c>
      <c r="R252" t="str">
        <f>IF(5&gt;IF(7&lt;=(INT(kopsavilkums!$V$2/4)-MOD(kopsavilkums!$V$2,4)),4,IF(7&lt;=INT(kopsavilkums!$V$2/4),5,0)),"",IFERROR(MATCH((IF(7&lt;=(INT(kopsavilkums!$V$2/4)-MOD(kopsavilkums!$V$2,4)),(7-1)*4,(INT(kopsavilkums!$V$2/4)-MOD(kopsavilkums!$V$2,4))*4+(7-(INT(kopsavilkums!$V$2/4)-MOD(kopsavilkums!$V$2,4))-1)*5)+5),kopsavilkums!$X$6:$X$125,0),""))</f>
        <v/>
      </c>
    </row>
    <row r="253" spans="1:18" ht="15.75">
      <c r="A253" s="4" t="s">
        <v>63</v>
      </c>
      <c r="B253" s="105">
        <f>IF(B252="","",7)</f>
        <v>7</v>
      </c>
      <c r="C253" s="105"/>
      <c r="D253" s="105">
        <f>IF(D252="","",7)</f>
        <v>7</v>
      </c>
      <c r="E253" s="105"/>
      <c r="F253" s="105">
        <f>IF(F252="","",7)</f>
        <v>7</v>
      </c>
      <c r="G253" s="105"/>
      <c r="H253" s="105">
        <f>IF(H252="","",7)</f>
        <v>7</v>
      </c>
      <c r="I253" s="105"/>
      <c r="J253" s="107" t="str">
        <f>IF(J252="","",7)</f>
        <v/>
      </c>
      <c r="K253" s="108"/>
    </row>
    <row r="254" spans="1:18" ht="15.75">
      <c r="A254" s="5" t="s">
        <v>64</v>
      </c>
      <c r="B254" s="8">
        <f>IF(N252="","",INDEX(kopsavilkums!$T$6:$T$125,N252))</f>
        <v>22</v>
      </c>
      <c r="C254" s="8">
        <f>IF(N252="","",INDEX(kopsavilkums!$U$6:$U$125,N252))</f>
        <v>27</v>
      </c>
      <c r="D254" s="8">
        <f>IF(O252="","",INDEX(kopsavilkums!$T$6:$T$125,O252))</f>
        <v>22</v>
      </c>
      <c r="E254" s="8">
        <f>IF(O252="","",INDEX(kopsavilkums!$U$6:$U$125,O252))</f>
        <v>23</v>
      </c>
      <c r="F254" s="8">
        <f>IF(P252="","",INDEX(kopsavilkums!$T$6:$T$125,P252))</f>
        <v>22</v>
      </c>
      <c r="G254" s="8">
        <f>IF(P252="","",INDEX(kopsavilkums!$U$6:$U$125,P252))</f>
        <v>2</v>
      </c>
      <c r="H254" s="8">
        <f>IF(Q252="","",INDEX(kopsavilkums!$T$6:$T$125,Q252))</f>
        <v>22</v>
      </c>
      <c r="I254" s="8">
        <f>IF(Q252="","",INDEX(kopsavilkums!$U$6:$U$125,Q252))</f>
        <v>-4</v>
      </c>
      <c r="J254" s="8" t="str">
        <f>IF(R252="","",INDEX(kopsavilkums!$T$6:$T$125,R252))</f>
        <v/>
      </c>
      <c r="K254" s="8" t="str">
        <f>IF(R252="","",INDEX(kopsavilkums!$U$6:$U$125,R252))</f>
        <v/>
      </c>
    </row>
    <row r="255" spans="1:18">
      <c r="K255" s="7" t="s">
        <v>65</v>
      </c>
      <c r="L255" s="17" t="s">
        <v>66</v>
      </c>
      <c r="M255" s="18"/>
    </row>
    <row r="256" spans="1:18">
      <c r="M256" s="2"/>
    </row>
    <row r="257" spans="1:13" ht="18">
      <c r="A257" s="3">
        <v>1</v>
      </c>
      <c r="B257" s="102"/>
      <c r="C257" s="102"/>
      <c r="D257" s="102"/>
      <c r="E257" s="102"/>
      <c r="F257" s="102"/>
      <c r="G257" s="102"/>
      <c r="H257" s="102"/>
      <c r="I257" s="102"/>
      <c r="J257" s="99"/>
      <c r="K257" s="99"/>
      <c r="L257" s="46"/>
      <c r="M257" s="6"/>
    </row>
    <row r="258" spans="1:13" ht="18">
      <c r="A258" s="3">
        <v>2</v>
      </c>
      <c r="B258" s="102"/>
      <c r="C258" s="102"/>
      <c r="D258" s="102"/>
      <c r="E258" s="102"/>
      <c r="F258" s="102"/>
      <c r="G258" s="102"/>
      <c r="H258" s="102"/>
      <c r="I258" s="102"/>
      <c r="J258" s="99"/>
      <c r="K258" s="99"/>
      <c r="L258" s="46"/>
      <c r="M258" s="6"/>
    </row>
    <row r="259" spans="1:13" ht="18">
      <c r="A259" s="3">
        <v>3</v>
      </c>
      <c r="B259" s="102"/>
      <c r="C259" s="102"/>
      <c r="D259" s="102"/>
      <c r="E259" s="102"/>
      <c r="F259" s="102"/>
      <c r="G259" s="102"/>
      <c r="H259" s="102"/>
      <c r="I259" s="102"/>
      <c r="J259" s="99"/>
      <c r="K259" s="99"/>
      <c r="L259" s="46"/>
      <c r="M259" s="6"/>
    </row>
    <row r="260" spans="1:13" ht="18">
      <c r="A260" s="3">
        <v>4</v>
      </c>
      <c r="B260" s="102"/>
      <c r="C260" s="102"/>
      <c r="D260" s="102"/>
      <c r="E260" s="102"/>
      <c r="F260" s="102"/>
      <c r="G260" s="102"/>
      <c r="H260" s="102"/>
      <c r="I260" s="102"/>
      <c r="J260" s="99"/>
      <c r="K260" s="99"/>
      <c r="L260" s="46"/>
      <c r="M260" s="6"/>
    </row>
    <row r="261" spans="1:13" ht="18">
      <c r="A261" s="3">
        <v>5</v>
      </c>
      <c r="B261" s="102"/>
      <c r="C261" s="102"/>
      <c r="D261" s="102"/>
      <c r="E261" s="102"/>
      <c r="F261" s="102"/>
      <c r="G261" s="102"/>
      <c r="H261" s="102"/>
      <c r="I261" s="102"/>
      <c r="J261" s="99"/>
      <c r="K261" s="99"/>
      <c r="L261" s="46"/>
      <c r="M261" s="6"/>
    </row>
    <row r="262" spans="1:13" ht="18">
      <c r="A262" s="3">
        <v>6</v>
      </c>
      <c r="B262" s="102"/>
      <c r="C262" s="102"/>
      <c r="D262" s="102"/>
      <c r="E262" s="102"/>
      <c r="F262" s="102"/>
      <c r="G262" s="102"/>
      <c r="H262" s="102"/>
      <c r="I262" s="102"/>
      <c r="J262" s="99"/>
      <c r="K262" s="99"/>
      <c r="L262" s="46"/>
      <c r="M262" s="6"/>
    </row>
    <row r="263" spans="1:13" ht="18">
      <c r="A263" s="3">
        <v>7</v>
      </c>
      <c r="B263" s="102"/>
      <c r="C263" s="102"/>
      <c r="D263" s="102"/>
      <c r="E263" s="102"/>
      <c r="F263" s="102"/>
      <c r="G263" s="102"/>
      <c r="H263" s="102"/>
      <c r="I263" s="102"/>
      <c r="J263" s="99"/>
      <c r="K263" s="99"/>
      <c r="L263" s="46"/>
      <c r="M263" s="6"/>
    </row>
    <row r="264" spans="1:13" ht="18">
      <c r="A264" s="3">
        <v>8</v>
      </c>
      <c r="B264" s="102"/>
      <c r="C264" s="102"/>
      <c r="D264" s="102"/>
      <c r="E264" s="102"/>
      <c r="F264" s="102"/>
      <c r="G264" s="102"/>
      <c r="H264" s="102"/>
      <c r="I264" s="102"/>
      <c r="J264" s="99"/>
      <c r="K264" s="99"/>
      <c r="L264" s="46"/>
      <c r="M264" s="6"/>
    </row>
    <row r="265" spans="1:13" ht="18">
      <c r="A265" s="3">
        <v>9</v>
      </c>
      <c r="B265" s="102"/>
      <c r="C265" s="102"/>
      <c r="D265" s="102"/>
      <c r="E265" s="102"/>
      <c r="F265" s="102"/>
      <c r="G265" s="102"/>
      <c r="H265" s="102"/>
      <c r="I265" s="102"/>
      <c r="J265" s="99"/>
      <c r="K265" s="99"/>
      <c r="L265" s="46"/>
      <c r="M265" s="6"/>
    </row>
    <row r="266" spans="1:13" ht="18">
      <c r="A266" s="3">
        <v>10</v>
      </c>
      <c r="B266" s="102"/>
      <c r="C266" s="102"/>
      <c r="D266" s="102"/>
      <c r="E266" s="102"/>
      <c r="F266" s="102"/>
      <c r="G266" s="102"/>
      <c r="H266" s="102"/>
      <c r="I266" s="102"/>
      <c r="J266" s="99"/>
      <c r="K266" s="99"/>
      <c r="L266" s="46"/>
      <c r="M266" s="6"/>
    </row>
    <row r="267" spans="1:13" ht="18">
      <c r="A267" s="3">
        <v>11</v>
      </c>
      <c r="B267" s="102"/>
      <c r="C267" s="102"/>
      <c r="D267" s="102"/>
      <c r="E267" s="102"/>
      <c r="F267" s="102"/>
      <c r="G267" s="102"/>
      <c r="H267" s="102"/>
      <c r="I267" s="102"/>
      <c r="J267" s="99"/>
      <c r="K267" s="99"/>
      <c r="L267" s="46"/>
      <c r="M267" s="6"/>
    </row>
    <row r="268" spans="1:13" ht="18">
      <c r="A268" s="3">
        <v>12</v>
      </c>
      <c r="B268" s="102"/>
      <c r="C268" s="102"/>
      <c r="D268" s="102"/>
      <c r="E268" s="102"/>
      <c r="F268" s="102"/>
      <c r="G268" s="102"/>
      <c r="H268" s="102"/>
      <c r="I268" s="102"/>
      <c r="J268" s="99"/>
      <c r="K268" s="99"/>
      <c r="L268" s="46"/>
      <c r="M268" s="6"/>
    </row>
    <row r="269" spans="1:13" ht="18">
      <c r="A269" s="3">
        <v>13</v>
      </c>
      <c r="B269" s="102"/>
      <c r="C269" s="102"/>
      <c r="D269" s="102"/>
      <c r="E269" s="102"/>
      <c r="F269" s="102"/>
      <c r="G269" s="102"/>
      <c r="H269" s="102"/>
      <c r="I269" s="102"/>
      <c r="J269" s="99"/>
      <c r="K269" s="99"/>
      <c r="L269" s="46"/>
      <c r="M269" s="6"/>
    </row>
    <row r="270" spans="1:13" ht="18">
      <c r="A270" s="3">
        <v>14</v>
      </c>
      <c r="B270" s="102"/>
      <c r="C270" s="102"/>
      <c r="D270" s="102"/>
      <c r="E270" s="102"/>
      <c r="F270" s="102"/>
      <c r="G270" s="102"/>
      <c r="H270" s="102"/>
      <c r="I270" s="102"/>
      <c r="J270" s="99"/>
      <c r="K270" s="99"/>
      <c r="L270" s="46"/>
      <c r="M270" s="6"/>
    </row>
    <row r="271" spans="1:13" ht="18">
      <c r="A271" s="3">
        <v>15</v>
      </c>
      <c r="B271" s="102"/>
      <c r="C271" s="102"/>
      <c r="D271" s="102"/>
      <c r="E271" s="102"/>
      <c r="F271" s="102"/>
      <c r="G271" s="102"/>
      <c r="H271" s="102"/>
      <c r="I271" s="102"/>
      <c r="J271" s="99"/>
      <c r="K271" s="99"/>
      <c r="L271" s="46"/>
      <c r="M271" s="6"/>
    </row>
    <row r="272" spans="1:13" ht="18">
      <c r="A272" s="3">
        <v>16</v>
      </c>
      <c r="B272" s="102"/>
      <c r="C272" s="102"/>
      <c r="D272" s="102"/>
      <c r="E272" s="102"/>
      <c r="F272" s="102"/>
      <c r="G272" s="102"/>
      <c r="H272" s="102"/>
      <c r="I272" s="102"/>
      <c r="J272" s="99"/>
      <c r="K272" s="99"/>
      <c r="L272" s="46"/>
      <c r="M272" s="6"/>
    </row>
    <row r="273" spans="1:13" ht="18">
      <c r="A273" s="3">
        <v>17</v>
      </c>
      <c r="B273" s="102"/>
      <c r="C273" s="102"/>
      <c r="D273" s="102"/>
      <c r="E273" s="102"/>
      <c r="F273" s="102"/>
      <c r="G273" s="102"/>
      <c r="H273" s="102"/>
      <c r="I273" s="102"/>
      <c r="J273" s="99"/>
      <c r="K273" s="99"/>
      <c r="L273" s="46"/>
      <c r="M273" s="6"/>
    </row>
    <row r="274" spans="1:13" ht="18">
      <c r="A274" s="3">
        <v>18</v>
      </c>
      <c r="B274" s="102"/>
      <c r="C274" s="102"/>
      <c r="D274" s="102"/>
      <c r="E274" s="102"/>
      <c r="F274" s="102"/>
      <c r="G274" s="102"/>
      <c r="H274" s="102"/>
      <c r="I274" s="102"/>
      <c r="J274" s="99"/>
      <c r="K274" s="99"/>
      <c r="L274" s="46"/>
      <c r="M274" s="6"/>
    </row>
    <row r="275" spans="1:13" ht="18">
      <c r="A275" s="3">
        <v>19</v>
      </c>
      <c r="B275" s="102"/>
      <c r="C275" s="102"/>
      <c r="D275" s="102"/>
      <c r="E275" s="102"/>
      <c r="F275" s="102"/>
      <c r="G275" s="102"/>
      <c r="H275" s="102"/>
      <c r="I275" s="102"/>
      <c r="J275" s="99"/>
      <c r="K275" s="99"/>
      <c r="L275" s="46"/>
      <c r="M275" s="6"/>
    </row>
    <row r="276" spans="1:13" ht="18">
      <c r="A276" s="3">
        <v>20</v>
      </c>
      <c r="B276" s="102"/>
      <c r="C276" s="102"/>
      <c r="D276" s="102"/>
      <c r="E276" s="102"/>
      <c r="F276" s="102"/>
      <c r="G276" s="102"/>
      <c r="H276" s="102"/>
      <c r="I276" s="102"/>
      <c r="J276" s="99"/>
      <c r="K276" s="99"/>
      <c r="L276" s="46"/>
      <c r="M276" s="6"/>
    </row>
    <row r="277" spans="1:13" ht="18">
      <c r="A277" s="3">
        <v>21</v>
      </c>
      <c r="B277" s="102"/>
      <c r="C277" s="102"/>
      <c r="D277" s="102"/>
      <c r="E277" s="102"/>
      <c r="F277" s="102"/>
      <c r="G277" s="102"/>
      <c r="H277" s="102"/>
      <c r="I277" s="102"/>
      <c r="J277" s="99"/>
      <c r="K277" s="99"/>
      <c r="L277" s="46"/>
      <c r="M277" s="6"/>
    </row>
    <row r="278" spans="1:13" ht="18">
      <c r="A278" s="3">
        <v>22</v>
      </c>
      <c r="B278" s="102"/>
      <c r="C278" s="102"/>
      <c r="D278" s="102"/>
      <c r="E278" s="102"/>
      <c r="F278" s="102"/>
      <c r="G278" s="102"/>
      <c r="H278" s="102"/>
      <c r="I278" s="102"/>
      <c r="J278" s="99"/>
      <c r="K278" s="99"/>
      <c r="L278" s="46"/>
      <c r="M278" s="6"/>
    </row>
    <row r="279" spans="1:13" ht="18">
      <c r="A279" s="3">
        <v>23</v>
      </c>
      <c r="B279" s="102"/>
      <c r="C279" s="102"/>
      <c r="D279" s="102"/>
      <c r="E279" s="102"/>
      <c r="F279" s="102"/>
      <c r="G279" s="102"/>
      <c r="H279" s="102"/>
      <c r="I279" s="102"/>
      <c r="J279" s="99"/>
      <c r="K279" s="99"/>
      <c r="L279" s="46"/>
      <c r="M279" s="6"/>
    </row>
    <row r="280" spans="1:13" ht="18">
      <c r="A280" s="3">
        <v>24</v>
      </c>
      <c r="B280" s="102"/>
      <c r="C280" s="102"/>
      <c r="D280" s="102"/>
      <c r="E280" s="102"/>
      <c r="F280" s="102"/>
      <c r="G280" s="102"/>
      <c r="H280" s="102"/>
      <c r="I280" s="102"/>
      <c r="J280" s="99"/>
      <c r="K280" s="99"/>
      <c r="L280" s="46"/>
      <c r="M280" s="6"/>
    </row>
    <row r="281" spans="1:13" ht="18">
      <c r="A281" s="3">
        <v>25</v>
      </c>
      <c r="B281" s="102"/>
      <c r="C281" s="102"/>
      <c r="D281" s="102"/>
      <c r="E281" s="102"/>
      <c r="F281" s="102"/>
      <c r="G281" s="102"/>
      <c r="H281" s="102"/>
      <c r="I281" s="102"/>
      <c r="J281" s="99"/>
      <c r="K281" s="99"/>
      <c r="L281" s="46"/>
      <c r="M281" s="6"/>
    </row>
    <row r="282" spans="1:13" ht="18">
      <c r="A282" s="3">
        <v>26</v>
      </c>
      <c r="B282" s="102"/>
      <c r="C282" s="102"/>
      <c r="D282" s="102"/>
      <c r="E282" s="102"/>
      <c r="F282" s="102"/>
      <c r="G282" s="102"/>
      <c r="H282" s="102"/>
      <c r="I282" s="102"/>
      <c r="J282" s="99"/>
      <c r="K282" s="99"/>
      <c r="L282" s="46"/>
      <c r="M282" s="6"/>
    </row>
    <row r="283" spans="1:13" ht="18">
      <c r="A283" s="3">
        <v>27</v>
      </c>
      <c r="B283" s="102"/>
      <c r="C283" s="102"/>
      <c r="D283" s="102"/>
      <c r="E283" s="102"/>
      <c r="F283" s="102"/>
      <c r="G283" s="102"/>
      <c r="H283" s="102"/>
      <c r="I283" s="102"/>
      <c r="J283" s="99"/>
      <c r="K283" s="99"/>
      <c r="L283" s="46"/>
      <c r="M283" s="6"/>
    </row>
    <row r="284" spans="1:13" ht="18">
      <c r="A284" s="3">
        <v>28</v>
      </c>
      <c r="B284" s="102"/>
      <c r="C284" s="102"/>
      <c r="D284" s="102"/>
      <c r="E284" s="102"/>
      <c r="F284" s="102"/>
      <c r="G284" s="102"/>
      <c r="H284" s="102"/>
      <c r="I284" s="102"/>
      <c r="J284" s="99"/>
      <c r="K284" s="99"/>
      <c r="L284" s="46"/>
      <c r="M284" s="6"/>
    </row>
    <row r="285" spans="1:13">
      <c r="B285" s="102"/>
      <c r="C285" s="102"/>
      <c r="D285" s="102"/>
      <c r="E285" s="102"/>
      <c r="F285" s="102"/>
      <c r="G285" s="102"/>
      <c r="H285" s="102"/>
      <c r="I285" s="102"/>
      <c r="J285" s="99"/>
      <c r="K285" s="99"/>
      <c r="L285" s="46"/>
      <c r="M285" s="6"/>
    </row>
    <row r="286" spans="1:13">
      <c r="B286" s="97"/>
      <c r="C286" s="98"/>
      <c r="D286" s="97"/>
      <c r="E286" s="98"/>
      <c r="F286" s="97"/>
      <c r="G286" s="98"/>
      <c r="H286" s="97"/>
      <c r="I286" s="98"/>
      <c r="J286" s="99"/>
      <c r="K286" s="99"/>
      <c r="L286" s="46"/>
      <c r="M286" s="6"/>
    </row>
    <row r="287" spans="1:13">
      <c r="B287" s="93"/>
      <c r="C287" s="94"/>
      <c r="D287" s="93"/>
      <c r="E287" s="94"/>
      <c r="F287" s="93"/>
      <c r="G287" s="94"/>
      <c r="H287" s="93"/>
      <c r="I287" s="94"/>
      <c r="J287" s="95"/>
      <c r="K287" s="96"/>
      <c r="L287" s="46"/>
      <c r="M287" s="6"/>
    </row>
    <row r="288" spans="1:13">
      <c r="M288" s="6"/>
    </row>
    <row r="289" spans="1:18">
      <c r="B289" s="7" t="str">
        <f>kopsavilkums!$J$2</f>
        <v>Dizšvētku Zolītes finālturnīrs Valkā 2026 (RONDO)</v>
      </c>
    </row>
    <row r="291" spans="1:18">
      <c r="G291" s="41" t="s">
        <v>62</v>
      </c>
      <c r="H291" s="43">
        <f>IF(kopsavilkums!$E$2="","",kopsavilkums!$E$2)</f>
        <v>8</v>
      </c>
    </row>
    <row r="293" spans="1:18">
      <c r="B293" s="110" t="str">
        <f>IF(N293="","",INDEX(kopsavilkums!$C$6:$C$125,N293))</f>
        <v>Arnolds Strazdiņš</v>
      </c>
      <c r="C293" s="111"/>
      <c r="D293" s="110" t="str">
        <f>IF(O293="","",INDEX(kopsavilkums!$C$6:$C$125,O293))</f>
        <v>Vladimirs Kovaļkovs</v>
      </c>
      <c r="E293" s="111"/>
      <c r="F293" s="110" t="str">
        <f>IF(P293="","",INDEX(kopsavilkums!$C$6:$C$125,P293))</f>
        <v>Andris Vītoliņš</v>
      </c>
      <c r="G293" s="111"/>
      <c r="H293" s="110" t="str">
        <f>IF(Q293="","",INDEX(kopsavilkums!$C$6:$C$125,Q293))</f>
        <v>Atis Kripans</v>
      </c>
      <c r="I293" s="111"/>
      <c r="J293" s="110" t="str">
        <f>IF(R293="","",INDEX(kopsavilkums!$C$6:$C$125,R293))</f>
        <v/>
      </c>
      <c r="K293" s="111"/>
      <c r="N293">
        <f>IF(1&gt;IF(8&lt;=(INT(kopsavilkums!$V$2/4)-MOD(kopsavilkums!$V$2,4)),4,IF(8&lt;=INT(kopsavilkums!$V$2/4),5,0)),"",IFERROR(MATCH((IF(8&lt;=(INT(kopsavilkums!$V$2/4)-MOD(kopsavilkums!$V$2,4)),(8-1)*4,(INT(kopsavilkums!$V$2/4)-MOD(kopsavilkums!$V$2,4))*4+(8-(INT(kopsavilkums!$V$2/4)-MOD(kopsavilkums!$V$2,4))-1)*5)+1),kopsavilkums!$X$6:$X$125,0),""))</f>
        <v>29</v>
      </c>
      <c r="O293">
        <f>IF(2&gt;IF(8&lt;=(INT(kopsavilkums!$V$2/4)-MOD(kopsavilkums!$V$2,4)),4,IF(8&lt;=INT(kopsavilkums!$V$2/4),5,0)),"",IFERROR(MATCH((IF(8&lt;=(INT(kopsavilkums!$V$2/4)-MOD(kopsavilkums!$V$2,4)),(8-1)*4,(INT(kopsavilkums!$V$2/4)-MOD(kopsavilkums!$V$2,4))*4+(8-(INT(kopsavilkums!$V$2/4)-MOD(kopsavilkums!$V$2,4))-1)*5)+2),kopsavilkums!$X$6:$X$125,0),""))</f>
        <v>30</v>
      </c>
      <c r="P293">
        <f>IF(3&gt;IF(8&lt;=(INT(kopsavilkums!$V$2/4)-MOD(kopsavilkums!$V$2,4)),4,IF(8&lt;=INT(kopsavilkums!$V$2/4),5,0)),"",IFERROR(MATCH((IF(8&lt;=(INT(kopsavilkums!$V$2/4)-MOD(kopsavilkums!$V$2,4)),(8-1)*4,(INT(kopsavilkums!$V$2/4)-MOD(kopsavilkums!$V$2,4))*4+(8-(INT(kopsavilkums!$V$2/4)-MOD(kopsavilkums!$V$2,4))-1)*5)+3),kopsavilkums!$X$6:$X$125,0),""))</f>
        <v>31</v>
      </c>
      <c r="Q293">
        <f>IF(4&gt;IF(8&lt;=(INT(kopsavilkums!$V$2/4)-MOD(kopsavilkums!$V$2,4)),4,IF(8&lt;=INT(kopsavilkums!$V$2/4),5,0)),"",IFERROR(MATCH((IF(8&lt;=(INT(kopsavilkums!$V$2/4)-MOD(kopsavilkums!$V$2,4)),(8-1)*4,(INT(kopsavilkums!$V$2/4)-MOD(kopsavilkums!$V$2,4))*4+(8-(INT(kopsavilkums!$V$2/4)-MOD(kopsavilkums!$V$2,4))-1)*5)+4),kopsavilkums!$X$6:$X$125,0),""))</f>
        <v>32</v>
      </c>
      <c r="R293" t="str">
        <f>IF(5&gt;IF(8&lt;=(INT(kopsavilkums!$V$2/4)-MOD(kopsavilkums!$V$2,4)),4,IF(8&lt;=INT(kopsavilkums!$V$2/4),5,0)),"",IFERROR(MATCH((IF(8&lt;=(INT(kopsavilkums!$V$2/4)-MOD(kopsavilkums!$V$2,4)),(8-1)*4,(INT(kopsavilkums!$V$2/4)-MOD(kopsavilkums!$V$2,4))*4+(8-(INT(kopsavilkums!$V$2/4)-MOD(kopsavilkums!$V$2,4))-1)*5)+5),kopsavilkums!$X$6:$X$125,0),""))</f>
        <v/>
      </c>
    </row>
    <row r="294" spans="1:18" ht="15.75">
      <c r="A294" s="4" t="s">
        <v>63</v>
      </c>
      <c r="B294" s="105">
        <f>IF(B293="","",8)</f>
        <v>8</v>
      </c>
      <c r="C294" s="105"/>
      <c r="D294" s="105">
        <f>IF(D293="","",8)</f>
        <v>8</v>
      </c>
      <c r="E294" s="105"/>
      <c r="F294" s="105">
        <f>IF(F293="","",8)</f>
        <v>8</v>
      </c>
      <c r="G294" s="105"/>
      <c r="H294" s="105">
        <f>IF(H293="","",8)</f>
        <v>8</v>
      </c>
      <c r="I294" s="105"/>
      <c r="J294" s="107" t="str">
        <f>IF(J293="","",8)</f>
        <v/>
      </c>
      <c r="K294" s="108"/>
    </row>
    <row r="295" spans="1:18" ht="15.75">
      <c r="A295" s="5" t="s">
        <v>64</v>
      </c>
      <c r="B295" s="8">
        <f>IF(N293="","",INDEX(kopsavilkums!$T$6:$T$125,N293))</f>
        <v>22</v>
      </c>
      <c r="C295" s="8">
        <f>IF(N293="","",INDEX(kopsavilkums!$U$6:$U$125,N293))</f>
        <v>-29</v>
      </c>
      <c r="D295" s="8">
        <f>IF(O293="","",INDEX(kopsavilkums!$T$6:$T$125,O293))</f>
        <v>21</v>
      </c>
      <c r="E295" s="8">
        <f>IF(O293="","",INDEX(kopsavilkums!$U$6:$U$125,O293))</f>
        <v>41</v>
      </c>
      <c r="F295" s="8">
        <f>IF(P293="","",INDEX(kopsavilkums!$T$6:$T$125,P293))</f>
        <v>21</v>
      </c>
      <c r="G295" s="8">
        <f>IF(P293="","",INDEX(kopsavilkums!$U$6:$U$125,P293))</f>
        <v>18</v>
      </c>
      <c r="H295" s="8">
        <f>IF(Q293="","",INDEX(kopsavilkums!$T$6:$T$125,Q293))</f>
        <v>21</v>
      </c>
      <c r="I295" s="8">
        <f>IF(Q293="","",INDEX(kopsavilkums!$U$6:$U$125,Q293))</f>
        <v>-4</v>
      </c>
      <c r="J295" s="8" t="str">
        <f>IF(R293="","",INDEX(kopsavilkums!$T$6:$T$125,R293))</f>
        <v/>
      </c>
      <c r="K295" s="8" t="str">
        <f>IF(R293="","",INDEX(kopsavilkums!$U$6:$U$125,R293))</f>
        <v/>
      </c>
    </row>
    <row r="296" spans="1:18">
      <c r="L296" s="17" t="s">
        <v>66</v>
      </c>
      <c r="M296" s="18"/>
    </row>
    <row r="297" spans="1:18">
      <c r="M297" s="2"/>
    </row>
    <row r="298" spans="1:18" ht="18">
      <c r="A298" s="3">
        <v>1</v>
      </c>
      <c r="B298" s="102"/>
      <c r="C298" s="102"/>
      <c r="D298" s="102"/>
      <c r="E298" s="102"/>
      <c r="F298" s="102"/>
      <c r="G298" s="102"/>
      <c r="H298" s="102"/>
      <c r="I298" s="102"/>
      <c r="J298" s="99"/>
      <c r="K298" s="99"/>
      <c r="L298" s="46"/>
      <c r="M298" s="6"/>
    </row>
    <row r="299" spans="1:18" ht="18">
      <c r="A299" s="3">
        <v>2</v>
      </c>
      <c r="B299" s="102"/>
      <c r="C299" s="102"/>
      <c r="D299" s="102"/>
      <c r="E299" s="102"/>
      <c r="F299" s="102"/>
      <c r="G299" s="102"/>
      <c r="H299" s="102"/>
      <c r="I299" s="102"/>
      <c r="J299" s="99"/>
      <c r="K299" s="99"/>
      <c r="L299" s="46"/>
      <c r="M299" s="6"/>
    </row>
    <row r="300" spans="1:18" ht="18">
      <c r="A300" s="3">
        <v>3</v>
      </c>
      <c r="B300" s="102"/>
      <c r="C300" s="102"/>
      <c r="D300" s="102"/>
      <c r="E300" s="102"/>
      <c r="F300" s="102"/>
      <c r="G300" s="102"/>
      <c r="H300" s="102"/>
      <c r="I300" s="102"/>
      <c r="J300" s="99"/>
      <c r="K300" s="99"/>
      <c r="L300" s="46"/>
      <c r="M300" s="6"/>
    </row>
    <row r="301" spans="1:18" ht="18">
      <c r="A301" s="3">
        <v>4</v>
      </c>
      <c r="B301" s="102"/>
      <c r="C301" s="102"/>
      <c r="D301" s="102"/>
      <c r="E301" s="102"/>
      <c r="F301" s="102"/>
      <c r="G301" s="102"/>
      <c r="H301" s="102"/>
      <c r="I301" s="102"/>
      <c r="J301" s="99"/>
      <c r="K301" s="99"/>
      <c r="L301" s="46"/>
      <c r="M301" s="6"/>
    </row>
    <row r="302" spans="1:18" ht="18">
      <c r="A302" s="3">
        <v>5</v>
      </c>
      <c r="B302" s="102"/>
      <c r="C302" s="102"/>
      <c r="D302" s="102"/>
      <c r="E302" s="102"/>
      <c r="F302" s="102"/>
      <c r="G302" s="102"/>
      <c r="H302" s="102"/>
      <c r="I302" s="102"/>
      <c r="J302" s="99"/>
      <c r="K302" s="99"/>
      <c r="L302" s="46"/>
      <c r="M302" s="6"/>
    </row>
    <row r="303" spans="1:18" ht="18">
      <c r="A303" s="3">
        <v>6</v>
      </c>
      <c r="B303" s="102"/>
      <c r="C303" s="102"/>
      <c r="D303" s="102"/>
      <c r="E303" s="102"/>
      <c r="F303" s="102"/>
      <c r="G303" s="102"/>
      <c r="H303" s="102"/>
      <c r="I303" s="102"/>
      <c r="J303" s="99"/>
      <c r="K303" s="99"/>
      <c r="L303" s="46"/>
      <c r="M303" s="6"/>
    </row>
    <row r="304" spans="1:18" ht="18">
      <c r="A304" s="3">
        <v>7</v>
      </c>
      <c r="B304" s="102"/>
      <c r="C304" s="102"/>
      <c r="D304" s="102"/>
      <c r="E304" s="102"/>
      <c r="F304" s="102"/>
      <c r="G304" s="102"/>
      <c r="H304" s="102"/>
      <c r="I304" s="102"/>
      <c r="J304" s="99"/>
      <c r="K304" s="99"/>
      <c r="L304" s="46"/>
      <c r="M304" s="6"/>
    </row>
    <row r="305" spans="1:13" ht="18">
      <c r="A305" s="3">
        <v>8</v>
      </c>
      <c r="B305" s="102"/>
      <c r="C305" s="102"/>
      <c r="D305" s="102"/>
      <c r="E305" s="102"/>
      <c r="F305" s="102"/>
      <c r="G305" s="102"/>
      <c r="H305" s="102"/>
      <c r="I305" s="102"/>
      <c r="J305" s="99"/>
      <c r="K305" s="99"/>
      <c r="L305" s="46"/>
      <c r="M305" s="6"/>
    </row>
    <row r="306" spans="1:13" ht="18">
      <c r="A306" s="3">
        <v>9</v>
      </c>
      <c r="B306" s="102"/>
      <c r="C306" s="102"/>
      <c r="D306" s="102"/>
      <c r="E306" s="102"/>
      <c r="F306" s="102"/>
      <c r="G306" s="102"/>
      <c r="H306" s="102"/>
      <c r="I306" s="102"/>
      <c r="J306" s="99"/>
      <c r="K306" s="99"/>
      <c r="L306" s="46"/>
      <c r="M306" s="6"/>
    </row>
    <row r="307" spans="1:13" ht="18">
      <c r="A307" s="3">
        <v>10</v>
      </c>
      <c r="B307" s="102"/>
      <c r="C307" s="102"/>
      <c r="D307" s="102"/>
      <c r="E307" s="102"/>
      <c r="F307" s="102"/>
      <c r="G307" s="102"/>
      <c r="H307" s="102"/>
      <c r="I307" s="102"/>
      <c r="J307" s="99"/>
      <c r="K307" s="99"/>
      <c r="L307" s="46"/>
      <c r="M307" s="6"/>
    </row>
    <row r="308" spans="1:13" ht="18">
      <c r="A308" s="3">
        <v>11</v>
      </c>
      <c r="B308" s="102"/>
      <c r="C308" s="102"/>
      <c r="D308" s="102"/>
      <c r="E308" s="102"/>
      <c r="F308" s="102"/>
      <c r="G308" s="102"/>
      <c r="H308" s="102"/>
      <c r="I308" s="102"/>
      <c r="J308" s="99"/>
      <c r="K308" s="99"/>
      <c r="L308" s="46"/>
      <c r="M308" s="6"/>
    </row>
    <row r="309" spans="1:13" ht="18">
      <c r="A309" s="3">
        <v>12</v>
      </c>
      <c r="B309" s="102"/>
      <c r="C309" s="102"/>
      <c r="D309" s="102"/>
      <c r="E309" s="102"/>
      <c r="F309" s="102"/>
      <c r="G309" s="102"/>
      <c r="H309" s="102"/>
      <c r="I309" s="102"/>
      <c r="J309" s="99"/>
      <c r="K309" s="99"/>
      <c r="L309" s="46"/>
      <c r="M309" s="6"/>
    </row>
    <row r="310" spans="1:13" ht="18">
      <c r="A310" s="3">
        <v>13</v>
      </c>
      <c r="B310" s="102"/>
      <c r="C310" s="102"/>
      <c r="D310" s="102"/>
      <c r="E310" s="102"/>
      <c r="F310" s="102"/>
      <c r="G310" s="102"/>
      <c r="H310" s="102"/>
      <c r="I310" s="102"/>
      <c r="J310" s="99"/>
      <c r="K310" s="99"/>
      <c r="L310" s="46"/>
      <c r="M310" s="6"/>
    </row>
    <row r="311" spans="1:13" ht="18">
      <c r="A311" s="3">
        <v>14</v>
      </c>
      <c r="B311" s="102"/>
      <c r="C311" s="102"/>
      <c r="D311" s="102"/>
      <c r="E311" s="102"/>
      <c r="F311" s="102"/>
      <c r="G311" s="102"/>
      <c r="H311" s="102"/>
      <c r="I311" s="102"/>
      <c r="J311" s="99"/>
      <c r="K311" s="99"/>
      <c r="L311" s="46"/>
      <c r="M311" s="6"/>
    </row>
    <row r="312" spans="1:13" ht="18">
      <c r="A312" s="3">
        <v>15</v>
      </c>
      <c r="B312" s="102"/>
      <c r="C312" s="102"/>
      <c r="D312" s="102"/>
      <c r="E312" s="102"/>
      <c r="F312" s="102"/>
      <c r="G312" s="102"/>
      <c r="H312" s="102"/>
      <c r="I312" s="102"/>
      <c r="J312" s="99"/>
      <c r="K312" s="99"/>
      <c r="L312" s="46"/>
      <c r="M312" s="6"/>
    </row>
    <row r="313" spans="1:13" ht="18">
      <c r="A313" s="3">
        <v>16</v>
      </c>
      <c r="B313" s="102"/>
      <c r="C313" s="102"/>
      <c r="D313" s="102"/>
      <c r="E313" s="102"/>
      <c r="F313" s="102"/>
      <c r="G313" s="102"/>
      <c r="H313" s="102"/>
      <c r="I313" s="102"/>
      <c r="J313" s="99"/>
      <c r="K313" s="99"/>
      <c r="L313" s="46"/>
      <c r="M313" s="6"/>
    </row>
    <row r="314" spans="1:13" ht="18">
      <c r="A314" s="3">
        <v>17</v>
      </c>
      <c r="B314" s="102"/>
      <c r="C314" s="102"/>
      <c r="D314" s="102"/>
      <c r="E314" s="102"/>
      <c r="F314" s="102"/>
      <c r="G314" s="102"/>
      <c r="H314" s="102"/>
      <c r="I314" s="102"/>
      <c r="J314" s="99"/>
      <c r="K314" s="99"/>
      <c r="L314" s="46"/>
      <c r="M314" s="6"/>
    </row>
    <row r="315" spans="1:13" ht="18">
      <c r="A315" s="3">
        <v>18</v>
      </c>
      <c r="B315" s="102"/>
      <c r="C315" s="102"/>
      <c r="D315" s="102"/>
      <c r="E315" s="102"/>
      <c r="F315" s="102"/>
      <c r="G315" s="102"/>
      <c r="H315" s="102"/>
      <c r="I315" s="102"/>
      <c r="J315" s="99"/>
      <c r="K315" s="99"/>
      <c r="L315" s="46"/>
      <c r="M315" s="6"/>
    </row>
    <row r="316" spans="1:13" ht="18">
      <c r="A316" s="3">
        <v>19</v>
      </c>
      <c r="B316" s="102"/>
      <c r="C316" s="102"/>
      <c r="D316" s="102"/>
      <c r="E316" s="102"/>
      <c r="F316" s="102"/>
      <c r="G316" s="102"/>
      <c r="H316" s="102"/>
      <c r="I316" s="102"/>
      <c r="J316" s="99"/>
      <c r="K316" s="99"/>
      <c r="L316" s="46"/>
      <c r="M316" s="6"/>
    </row>
    <row r="317" spans="1:13" ht="18">
      <c r="A317" s="3">
        <v>20</v>
      </c>
      <c r="B317" s="102"/>
      <c r="C317" s="102"/>
      <c r="D317" s="102"/>
      <c r="E317" s="102"/>
      <c r="F317" s="102"/>
      <c r="G317" s="102"/>
      <c r="H317" s="102"/>
      <c r="I317" s="102"/>
      <c r="J317" s="99"/>
      <c r="K317" s="99"/>
      <c r="L317" s="46"/>
      <c r="M317" s="6"/>
    </row>
    <row r="318" spans="1:13" ht="18">
      <c r="A318" s="3">
        <v>21</v>
      </c>
      <c r="B318" s="102"/>
      <c r="C318" s="102"/>
      <c r="D318" s="102"/>
      <c r="E318" s="102"/>
      <c r="F318" s="102"/>
      <c r="G318" s="102"/>
      <c r="H318" s="102"/>
      <c r="I318" s="102"/>
      <c r="J318" s="99"/>
      <c r="K318" s="99"/>
      <c r="L318" s="46"/>
      <c r="M318" s="6"/>
    </row>
    <row r="319" spans="1:13" ht="18">
      <c r="A319" s="3">
        <v>22</v>
      </c>
      <c r="B319" s="102"/>
      <c r="C319" s="102"/>
      <c r="D319" s="102"/>
      <c r="E319" s="102"/>
      <c r="F319" s="102"/>
      <c r="G319" s="102"/>
      <c r="H319" s="102"/>
      <c r="I319" s="102"/>
      <c r="J319" s="99"/>
      <c r="K319" s="99"/>
      <c r="L319" s="46"/>
      <c r="M319" s="6"/>
    </row>
    <row r="320" spans="1:13" ht="18">
      <c r="A320" s="3">
        <v>23</v>
      </c>
      <c r="B320" s="102"/>
      <c r="C320" s="102"/>
      <c r="D320" s="102"/>
      <c r="E320" s="102"/>
      <c r="F320" s="102"/>
      <c r="G320" s="102"/>
      <c r="H320" s="102"/>
      <c r="I320" s="102"/>
      <c r="J320" s="99"/>
      <c r="K320" s="99"/>
      <c r="L320" s="46"/>
      <c r="M320" s="6"/>
    </row>
    <row r="321" spans="1:18" ht="18">
      <c r="A321" s="3">
        <v>24</v>
      </c>
      <c r="B321" s="102"/>
      <c r="C321" s="102"/>
      <c r="D321" s="102"/>
      <c r="E321" s="102"/>
      <c r="F321" s="102"/>
      <c r="G321" s="102"/>
      <c r="H321" s="102"/>
      <c r="I321" s="102"/>
      <c r="J321" s="99"/>
      <c r="K321" s="99"/>
      <c r="L321" s="46"/>
      <c r="M321" s="6"/>
    </row>
    <row r="322" spans="1:18" ht="18">
      <c r="A322" s="3">
        <v>25</v>
      </c>
      <c r="B322" s="102"/>
      <c r="C322" s="102"/>
      <c r="D322" s="102"/>
      <c r="E322" s="102"/>
      <c r="F322" s="102"/>
      <c r="G322" s="102"/>
      <c r="H322" s="102"/>
      <c r="I322" s="102"/>
      <c r="J322" s="99"/>
      <c r="K322" s="99"/>
      <c r="L322" s="46"/>
      <c r="M322" s="6"/>
    </row>
    <row r="323" spans="1:18" ht="18">
      <c r="A323" s="3">
        <v>26</v>
      </c>
      <c r="B323" s="102"/>
      <c r="C323" s="102"/>
      <c r="D323" s="102"/>
      <c r="E323" s="102"/>
      <c r="F323" s="102"/>
      <c r="G323" s="102"/>
      <c r="H323" s="102"/>
      <c r="I323" s="102"/>
      <c r="J323" s="99"/>
      <c r="K323" s="99"/>
      <c r="L323" s="46"/>
      <c r="M323" s="6"/>
    </row>
    <row r="324" spans="1:18" ht="18">
      <c r="A324" s="3">
        <v>27</v>
      </c>
      <c r="B324" s="102"/>
      <c r="C324" s="102"/>
      <c r="D324" s="102"/>
      <c r="E324" s="102"/>
      <c r="F324" s="102"/>
      <c r="G324" s="102"/>
      <c r="H324" s="102"/>
      <c r="I324" s="102"/>
      <c r="J324" s="99"/>
      <c r="K324" s="99"/>
      <c r="L324" s="46"/>
      <c r="M324" s="6"/>
    </row>
    <row r="325" spans="1:18" ht="18">
      <c r="A325" s="3">
        <v>28</v>
      </c>
      <c r="B325" s="102"/>
      <c r="C325" s="102"/>
      <c r="D325" s="102"/>
      <c r="E325" s="102"/>
      <c r="F325" s="102"/>
      <c r="G325" s="102"/>
      <c r="H325" s="102"/>
      <c r="I325" s="102"/>
      <c r="J325" s="99"/>
      <c r="K325" s="99"/>
      <c r="L325" s="46"/>
      <c r="M325" s="6"/>
    </row>
    <row r="326" spans="1:18">
      <c r="B326" s="102"/>
      <c r="C326" s="102"/>
      <c r="D326" s="102"/>
      <c r="E326" s="102"/>
      <c r="F326" s="102"/>
      <c r="G326" s="102"/>
      <c r="H326" s="102"/>
      <c r="I326" s="102"/>
      <c r="J326" s="99"/>
      <c r="K326" s="99"/>
      <c r="L326" s="46"/>
      <c r="M326" s="6"/>
    </row>
    <row r="327" spans="1:18">
      <c r="B327" s="97"/>
      <c r="C327" s="98"/>
      <c r="D327" s="97"/>
      <c r="E327" s="98"/>
      <c r="F327" s="97"/>
      <c r="G327" s="98"/>
      <c r="H327" s="97"/>
      <c r="I327" s="98"/>
      <c r="J327" s="99"/>
      <c r="K327" s="99"/>
      <c r="L327" s="46"/>
      <c r="M327" s="6"/>
    </row>
    <row r="328" spans="1:18">
      <c r="B328" s="93"/>
      <c r="C328" s="94"/>
      <c r="D328" s="93"/>
      <c r="E328" s="94"/>
      <c r="F328" s="93"/>
      <c r="G328" s="94"/>
      <c r="H328" s="93"/>
      <c r="I328" s="94"/>
      <c r="J328" s="95"/>
      <c r="K328" s="96"/>
      <c r="L328" s="46"/>
      <c r="M328" s="6"/>
    </row>
    <row r="329" spans="1:18">
      <c r="M329" s="6"/>
    </row>
    <row r="330" spans="1:18">
      <c r="B330" s="7" t="str">
        <f>kopsavilkums!$J$2</f>
        <v>Dizšvētku Zolītes finālturnīrs Valkā 2026 (RONDO)</v>
      </c>
    </row>
    <row r="332" spans="1:18">
      <c r="G332" s="41" t="s">
        <v>62</v>
      </c>
      <c r="H332" s="43">
        <f>IF(kopsavilkums!$E$2="","",kopsavilkums!$E$2)</f>
        <v>8</v>
      </c>
    </row>
    <row r="334" spans="1:18">
      <c r="B334" s="110" t="str">
        <f>IF(N334="","",INDEX(kopsavilkums!$C$6:$C$125,N334))</f>
        <v>Viesturs Strūka</v>
      </c>
      <c r="C334" s="111"/>
      <c r="D334" s="110" t="str">
        <f>IF(O334="","",INDEX(kopsavilkums!$C$6:$C$125,O334))</f>
        <v>Dace Fišere</v>
      </c>
      <c r="E334" s="111"/>
      <c r="F334" s="110" t="str">
        <f>IF(P334="","",INDEX(kopsavilkums!$C$6:$C$125,P334))</f>
        <v>Intars Gulbis</v>
      </c>
      <c r="G334" s="111"/>
      <c r="H334" s="110" t="str">
        <f>IF(Q334="","",INDEX(kopsavilkums!$C$6:$C$125,Q334))</f>
        <v>Juris Dzvinko</v>
      </c>
      <c r="I334" s="111"/>
      <c r="J334" s="110" t="str">
        <f>IF(R334="","",INDEX(kopsavilkums!$C$6:$C$125,R334))</f>
        <v/>
      </c>
      <c r="K334" s="111"/>
      <c r="N334">
        <f>IF(1&gt;IF(9&lt;=(INT(kopsavilkums!$V$2/4)-MOD(kopsavilkums!$V$2,4)),4,IF(9&lt;=INT(kopsavilkums!$V$2/4),5,0)),"",IFERROR(MATCH((IF(9&lt;=(INT(kopsavilkums!$V$2/4)-MOD(kopsavilkums!$V$2,4)),(9-1)*4,(INT(kopsavilkums!$V$2/4)-MOD(kopsavilkums!$V$2,4))*4+(9-(INT(kopsavilkums!$V$2/4)-MOD(kopsavilkums!$V$2,4))-1)*5)+1),kopsavilkums!$X$6:$X$125,0),""))</f>
        <v>33</v>
      </c>
      <c r="O334">
        <f>IF(2&gt;IF(9&lt;=(INT(kopsavilkums!$V$2/4)-MOD(kopsavilkums!$V$2,4)),4,IF(9&lt;=INT(kopsavilkums!$V$2/4),5,0)),"",IFERROR(MATCH((IF(9&lt;=(INT(kopsavilkums!$V$2/4)-MOD(kopsavilkums!$V$2,4)),(9-1)*4,(INT(kopsavilkums!$V$2/4)-MOD(kopsavilkums!$V$2,4))*4+(9-(INT(kopsavilkums!$V$2/4)-MOD(kopsavilkums!$V$2,4))-1)*5)+2),kopsavilkums!$X$6:$X$125,0),""))</f>
        <v>34</v>
      </c>
      <c r="P334">
        <f>IF(3&gt;IF(9&lt;=(INT(kopsavilkums!$V$2/4)-MOD(kopsavilkums!$V$2,4)),4,IF(9&lt;=INT(kopsavilkums!$V$2/4),5,0)),"",IFERROR(MATCH((IF(9&lt;=(INT(kopsavilkums!$V$2/4)-MOD(kopsavilkums!$V$2,4)),(9-1)*4,(INT(kopsavilkums!$V$2/4)-MOD(kopsavilkums!$V$2,4))*4+(9-(INT(kopsavilkums!$V$2/4)-MOD(kopsavilkums!$V$2,4))-1)*5)+3),kopsavilkums!$X$6:$X$125,0),""))</f>
        <v>35</v>
      </c>
      <c r="Q334">
        <f>IF(4&gt;IF(9&lt;=(INT(kopsavilkums!$V$2/4)-MOD(kopsavilkums!$V$2,4)),4,IF(9&lt;=INT(kopsavilkums!$V$2/4),5,0)),"",IFERROR(MATCH((IF(9&lt;=(INT(kopsavilkums!$V$2/4)-MOD(kopsavilkums!$V$2,4)),(9-1)*4,(INT(kopsavilkums!$V$2/4)-MOD(kopsavilkums!$V$2,4))*4+(9-(INT(kopsavilkums!$V$2/4)-MOD(kopsavilkums!$V$2,4))-1)*5)+4),kopsavilkums!$X$6:$X$125,0),""))</f>
        <v>36</v>
      </c>
      <c r="R334" t="str">
        <f>IF(5&gt;IF(9&lt;=(INT(kopsavilkums!$V$2/4)-MOD(kopsavilkums!$V$2,4)),4,IF(9&lt;=INT(kopsavilkums!$V$2/4),5,0)),"",IFERROR(MATCH((IF(9&lt;=(INT(kopsavilkums!$V$2/4)-MOD(kopsavilkums!$V$2,4)),(9-1)*4,(INT(kopsavilkums!$V$2/4)-MOD(kopsavilkums!$V$2,4))*4+(9-(INT(kopsavilkums!$V$2/4)-MOD(kopsavilkums!$V$2,4))-1)*5)+5),kopsavilkums!$X$6:$X$125,0),""))</f>
        <v/>
      </c>
    </row>
    <row r="335" spans="1:18" ht="15.75">
      <c r="A335" s="4" t="s">
        <v>63</v>
      </c>
      <c r="B335" s="105">
        <f>IF(B334="","",9)</f>
        <v>9</v>
      </c>
      <c r="C335" s="105"/>
      <c r="D335" s="105">
        <f>IF(D334="","",9)</f>
        <v>9</v>
      </c>
      <c r="E335" s="105"/>
      <c r="F335" s="105">
        <f>IF(F334="","",9)</f>
        <v>9</v>
      </c>
      <c r="G335" s="105"/>
      <c r="H335" s="105">
        <f>IF(H334="","",9)</f>
        <v>9</v>
      </c>
      <c r="I335" s="105"/>
      <c r="J335" s="107" t="str">
        <f>IF(J334="","",9)</f>
        <v/>
      </c>
      <c r="K335" s="108"/>
    </row>
    <row r="336" spans="1:18" ht="15.75">
      <c r="A336" s="5" t="s">
        <v>64</v>
      </c>
      <c r="B336" s="8">
        <f>IF(N334="","",INDEX(kopsavilkums!$T$6:$T$125,N334))</f>
        <v>20</v>
      </c>
      <c r="C336" s="8">
        <f>IF(N334="","",INDEX(kopsavilkums!$U$6:$U$125,N334))</f>
        <v>12</v>
      </c>
      <c r="D336" s="8">
        <f>IF(O334="","",INDEX(kopsavilkums!$T$6:$T$125,O334))</f>
        <v>20</v>
      </c>
      <c r="E336" s="8">
        <f>IF(O334="","",INDEX(kopsavilkums!$U$6:$U$125,O334))</f>
        <v>-12</v>
      </c>
      <c r="F336" s="8">
        <f>IF(P334="","",INDEX(kopsavilkums!$T$6:$T$125,P334))</f>
        <v>20</v>
      </c>
      <c r="G336" s="8">
        <f>IF(P334="","",INDEX(kopsavilkums!$U$6:$U$125,P334))</f>
        <v>-14</v>
      </c>
      <c r="H336" s="8">
        <f>IF(Q334="","",INDEX(kopsavilkums!$T$6:$T$125,Q334))</f>
        <v>20</v>
      </c>
      <c r="I336" s="8">
        <f>IF(Q334="","",INDEX(kopsavilkums!$U$6:$U$125,Q334))</f>
        <v>-17</v>
      </c>
      <c r="J336" s="8" t="str">
        <f>IF(R334="","",INDEX(kopsavilkums!$T$6:$T$125,R334))</f>
        <v/>
      </c>
      <c r="K336" s="8" t="str">
        <f>IF(R334="","",INDEX(kopsavilkums!$U$6:$U$125,R334))</f>
        <v/>
      </c>
    </row>
    <row r="337" spans="1:13">
      <c r="L337" s="17" t="s">
        <v>66</v>
      </c>
      <c r="M337" s="18"/>
    </row>
    <row r="338" spans="1:13">
      <c r="M338" s="2"/>
    </row>
    <row r="339" spans="1:13" ht="18">
      <c r="A339" s="3">
        <v>1</v>
      </c>
      <c r="B339" s="102"/>
      <c r="C339" s="102"/>
      <c r="D339" s="102"/>
      <c r="E339" s="102"/>
      <c r="F339" s="102"/>
      <c r="G339" s="102"/>
      <c r="H339" s="102"/>
      <c r="I339" s="102"/>
      <c r="J339" s="99"/>
      <c r="K339" s="99"/>
      <c r="L339" s="46"/>
      <c r="M339" s="6"/>
    </row>
    <row r="340" spans="1:13" ht="18">
      <c r="A340" s="3">
        <v>2</v>
      </c>
      <c r="B340" s="102"/>
      <c r="C340" s="102"/>
      <c r="D340" s="102"/>
      <c r="E340" s="102"/>
      <c r="F340" s="102"/>
      <c r="G340" s="102"/>
      <c r="H340" s="102"/>
      <c r="I340" s="102"/>
      <c r="J340" s="99"/>
      <c r="K340" s="99"/>
      <c r="L340" s="46"/>
      <c r="M340" s="6"/>
    </row>
    <row r="341" spans="1:13" ht="18">
      <c r="A341" s="3">
        <v>3</v>
      </c>
      <c r="B341" s="102"/>
      <c r="C341" s="102"/>
      <c r="D341" s="102"/>
      <c r="E341" s="102"/>
      <c r="F341" s="102"/>
      <c r="G341" s="102"/>
      <c r="H341" s="102"/>
      <c r="I341" s="102"/>
      <c r="J341" s="99"/>
      <c r="K341" s="99"/>
      <c r="L341" s="46"/>
      <c r="M341" s="6"/>
    </row>
    <row r="342" spans="1:13" ht="18">
      <c r="A342" s="3">
        <v>4</v>
      </c>
      <c r="B342" s="102"/>
      <c r="C342" s="102"/>
      <c r="D342" s="102"/>
      <c r="E342" s="102"/>
      <c r="F342" s="102"/>
      <c r="G342" s="102"/>
      <c r="H342" s="102"/>
      <c r="I342" s="102"/>
      <c r="J342" s="99"/>
      <c r="K342" s="99"/>
      <c r="L342" s="46"/>
      <c r="M342" s="6"/>
    </row>
    <row r="343" spans="1:13" ht="18">
      <c r="A343" s="3">
        <v>5</v>
      </c>
      <c r="B343" s="102"/>
      <c r="C343" s="102"/>
      <c r="D343" s="102"/>
      <c r="E343" s="102"/>
      <c r="F343" s="102"/>
      <c r="G343" s="102"/>
      <c r="H343" s="102"/>
      <c r="I343" s="102"/>
      <c r="J343" s="99"/>
      <c r="K343" s="99"/>
      <c r="L343" s="46"/>
      <c r="M343" s="6"/>
    </row>
    <row r="344" spans="1:13" ht="18">
      <c r="A344" s="3">
        <v>6</v>
      </c>
      <c r="B344" s="102"/>
      <c r="C344" s="102"/>
      <c r="D344" s="102"/>
      <c r="E344" s="102"/>
      <c r="F344" s="102"/>
      <c r="G344" s="102"/>
      <c r="H344" s="102"/>
      <c r="I344" s="102"/>
      <c r="J344" s="99"/>
      <c r="K344" s="99"/>
      <c r="L344" s="46"/>
      <c r="M344" s="6"/>
    </row>
    <row r="345" spans="1:13" ht="18">
      <c r="A345" s="3">
        <v>7</v>
      </c>
      <c r="B345" s="102"/>
      <c r="C345" s="102"/>
      <c r="D345" s="102"/>
      <c r="E345" s="102"/>
      <c r="F345" s="102"/>
      <c r="G345" s="102"/>
      <c r="H345" s="102"/>
      <c r="I345" s="102"/>
      <c r="J345" s="99"/>
      <c r="K345" s="99"/>
      <c r="L345" s="46"/>
      <c r="M345" s="6"/>
    </row>
    <row r="346" spans="1:13" ht="18">
      <c r="A346" s="3">
        <v>8</v>
      </c>
      <c r="B346" s="102"/>
      <c r="C346" s="102"/>
      <c r="D346" s="102"/>
      <c r="E346" s="102"/>
      <c r="F346" s="102"/>
      <c r="G346" s="102"/>
      <c r="H346" s="102"/>
      <c r="I346" s="102"/>
      <c r="J346" s="99"/>
      <c r="K346" s="99"/>
      <c r="L346" s="46"/>
      <c r="M346" s="6"/>
    </row>
    <row r="347" spans="1:13" ht="18">
      <c r="A347" s="3">
        <v>9</v>
      </c>
      <c r="B347" s="102"/>
      <c r="C347" s="102"/>
      <c r="D347" s="102"/>
      <c r="E347" s="102"/>
      <c r="F347" s="102"/>
      <c r="G347" s="102"/>
      <c r="H347" s="102"/>
      <c r="I347" s="102"/>
      <c r="J347" s="99"/>
      <c r="K347" s="99"/>
      <c r="L347" s="46"/>
      <c r="M347" s="6"/>
    </row>
    <row r="348" spans="1:13" ht="18">
      <c r="A348" s="3">
        <v>10</v>
      </c>
      <c r="B348" s="102"/>
      <c r="C348" s="102"/>
      <c r="D348" s="102"/>
      <c r="E348" s="102"/>
      <c r="F348" s="102"/>
      <c r="G348" s="102"/>
      <c r="H348" s="102"/>
      <c r="I348" s="102"/>
      <c r="J348" s="99"/>
      <c r="K348" s="99"/>
      <c r="L348" s="46"/>
      <c r="M348" s="6"/>
    </row>
    <row r="349" spans="1:13" ht="18">
      <c r="A349" s="3">
        <v>11</v>
      </c>
      <c r="B349" s="102"/>
      <c r="C349" s="102"/>
      <c r="D349" s="102"/>
      <c r="E349" s="102"/>
      <c r="F349" s="102"/>
      <c r="G349" s="102"/>
      <c r="H349" s="102"/>
      <c r="I349" s="102"/>
      <c r="J349" s="99"/>
      <c r="K349" s="99"/>
      <c r="L349" s="46"/>
      <c r="M349" s="6"/>
    </row>
    <row r="350" spans="1:13" ht="18">
      <c r="A350" s="3">
        <v>12</v>
      </c>
      <c r="B350" s="102"/>
      <c r="C350" s="102"/>
      <c r="D350" s="102"/>
      <c r="E350" s="102"/>
      <c r="F350" s="102"/>
      <c r="G350" s="102"/>
      <c r="H350" s="102"/>
      <c r="I350" s="102"/>
      <c r="J350" s="99"/>
      <c r="K350" s="99"/>
      <c r="L350" s="46"/>
      <c r="M350" s="6"/>
    </row>
    <row r="351" spans="1:13" ht="18">
      <c r="A351" s="3">
        <v>13</v>
      </c>
      <c r="B351" s="102"/>
      <c r="C351" s="102"/>
      <c r="D351" s="102"/>
      <c r="E351" s="102"/>
      <c r="F351" s="102"/>
      <c r="G351" s="102"/>
      <c r="H351" s="102"/>
      <c r="I351" s="102"/>
      <c r="J351" s="99"/>
      <c r="K351" s="99"/>
      <c r="L351" s="46"/>
      <c r="M351" s="6"/>
    </row>
    <row r="352" spans="1:13" ht="18">
      <c r="A352" s="3">
        <v>14</v>
      </c>
      <c r="B352" s="102"/>
      <c r="C352" s="102"/>
      <c r="D352" s="102"/>
      <c r="E352" s="102"/>
      <c r="F352" s="102"/>
      <c r="G352" s="102"/>
      <c r="H352" s="102"/>
      <c r="I352" s="102"/>
      <c r="J352" s="99"/>
      <c r="K352" s="99"/>
      <c r="L352" s="46"/>
      <c r="M352" s="6"/>
    </row>
    <row r="353" spans="1:13" ht="18">
      <c r="A353" s="3">
        <v>15</v>
      </c>
      <c r="B353" s="102"/>
      <c r="C353" s="102"/>
      <c r="D353" s="102"/>
      <c r="E353" s="102"/>
      <c r="F353" s="102"/>
      <c r="G353" s="102"/>
      <c r="H353" s="102"/>
      <c r="I353" s="102"/>
      <c r="J353" s="99"/>
      <c r="K353" s="99"/>
      <c r="L353" s="46"/>
      <c r="M353" s="6"/>
    </row>
    <row r="354" spans="1:13" ht="18">
      <c r="A354" s="3">
        <v>16</v>
      </c>
      <c r="B354" s="102"/>
      <c r="C354" s="102"/>
      <c r="D354" s="102"/>
      <c r="E354" s="102"/>
      <c r="F354" s="102"/>
      <c r="G354" s="102"/>
      <c r="H354" s="102"/>
      <c r="I354" s="102"/>
      <c r="J354" s="99"/>
      <c r="K354" s="99"/>
      <c r="L354" s="46"/>
      <c r="M354" s="6"/>
    </row>
    <row r="355" spans="1:13" ht="18">
      <c r="A355" s="3">
        <v>17</v>
      </c>
      <c r="B355" s="102"/>
      <c r="C355" s="102"/>
      <c r="D355" s="102"/>
      <c r="E355" s="102"/>
      <c r="F355" s="102"/>
      <c r="G355" s="102"/>
      <c r="H355" s="102"/>
      <c r="I355" s="102"/>
      <c r="J355" s="99"/>
      <c r="K355" s="99"/>
      <c r="L355" s="46"/>
      <c r="M355" s="6"/>
    </row>
    <row r="356" spans="1:13" ht="18">
      <c r="A356" s="3">
        <v>18</v>
      </c>
      <c r="B356" s="102"/>
      <c r="C356" s="102"/>
      <c r="D356" s="102"/>
      <c r="E356" s="102"/>
      <c r="F356" s="102"/>
      <c r="G356" s="102"/>
      <c r="H356" s="102"/>
      <c r="I356" s="102"/>
      <c r="J356" s="99"/>
      <c r="K356" s="99"/>
      <c r="L356" s="46"/>
      <c r="M356" s="6"/>
    </row>
    <row r="357" spans="1:13" ht="18">
      <c r="A357" s="3">
        <v>19</v>
      </c>
      <c r="B357" s="102"/>
      <c r="C357" s="102"/>
      <c r="D357" s="102"/>
      <c r="E357" s="102"/>
      <c r="F357" s="102"/>
      <c r="G357" s="102"/>
      <c r="H357" s="102"/>
      <c r="I357" s="102"/>
      <c r="J357" s="99"/>
      <c r="K357" s="99"/>
      <c r="L357" s="46"/>
      <c r="M357" s="6"/>
    </row>
    <row r="358" spans="1:13" ht="18">
      <c r="A358" s="3">
        <v>20</v>
      </c>
      <c r="B358" s="102"/>
      <c r="C358" s="102"/>
      <c r="D358" s="102"/>
      <c r="E358" s="102"/>
      <c r="F358" s="102"/>
      <c r="G358" s="102"/>
      <c r="H358" s="102"/>
      <c r="I358" s="102"/>
      <c r="J358" s="99"/>
      <c r="K358" s="99"/>
      <c r="L358" s="46"/>
      <c r="M358" s="6"/>
    </row>
    <row r="359" spans="1:13" ht="18">
      <c r="A359" s="3">
        <v>21</v>
      </c>
      <c r="B359" s="102"/>
      <c r="C359" s="102"/>
      <c r="D359" s="102"/>
      <c r="E359" s="102"/>
      <c r="F359" s="102"/>
      <c r="G359" s="102"/>
      <c r="H359" s="102"/>
      <c r="I359" s="102"/>
      <c r="J359" s="99"/>
      <c r="K359" s="99"/>
      <c r="L359" s="46"/>
      <c r="M359" s="6"/>
    </row>
    <row r="360" spans="1:13" ht="18">
      <c r="A360" s="3">
        <v>22</v>
      </c>
      <c r="B360" s="102"/>
      <c r="C360" s="102"/>
      <c r="D360" s="102"/>
      <c r="E360" s="102"/>
      <c r="F360" s="102"/>
      <c r="G360" s="102"/>
      <c r="H360" s="102"/>
      <c r="I360" s="102"/>
      <c r="J360" s="99"/>
      <c r="K360" s="99"/>
      <c r="L360" s="46"/>
      <c r="M360" s="6"/>
    </row>
    <row r="361" spans="1:13" ht="18">
      <c r="A361" s="3">
        <v>23</v>
      </c>
      <c r="B361" s="102"/>
      <c r="C361" s="102"/>
      <c r="D361" s="102"/>
      <c r="E361" s="102"/>
      <c r="F361" s="102"/>
      <c r="G361" s="102"/>
      <c r="H361" s="102"/>
      <c r="I361" s="102"/>
      <c r="J361" s="99"/>
      <c r="K361" s="99"/>
      <c r="L361" s="46"/>
      <c r="M361" s="6"/>
    </row>
    <row r="362" spans="1:13" ht="18">
      <c r="A362" s="3">
        <v>24</v>
      </c>
      <c r="B362" s="102"/>
      <c r="C362" s="102"/>
      <c r="D362" s="102"/>
      <c r="E362" s="102"/>
      <c r="F362" s="102"/>
      <c r="G362" s="102"/>
      <c r="H362" s="102"/>
      <c r="I362" s="102"/>
      <c r="J362" s="99"/>
      <c r="K362" s="99"/>
      <c r="L362" s="46"/>
      <c r="M362" s="6"/>
    </row>
    <row r="363" spans="1:13" ht="18">
      <c r="A363" s="3">
        <v>25</v>
      </c>
      <c r="B363" s="102"/>
      <c r="C363" s="102"/>
      <c r="D363" s="102"/>
      <c r="E363" s="102"/>
      <c r="F363" s="102"/>
      <c r="G363" s="102"/>
      <c r="H363" s="102"/>
      <c r="I363" s="102"/>
      <c r="J363" s="99"/>
      <c r="K363" s="99"/>
      <c r="L363" s="46"/>
      <c r="M363" s="6"/>
    </row>
    <row r="364" spans="1:13" ht="18">
      <c r="A364" s="3">
        <v>26</v>
      </c>
      <c r="B364" s="102"/>
      <c r="C364" s="102"/>
      <c r="D364" s="102"/>
      <c r="E364" s="102"/>
      <c r="F364" s="102"/>
      <c r="G364" s="102"/>
      <c r="H364" s="102"/>
      <c r="I364" s="102"/>
      <c r="J364" s="99"/>
      <c r="K364" s="99"/>
      <c r="L364" s="46"/>
      <c r="M364" s="6"/>
    </row>
    <row r="365" spans="1:13" ht="18">
      <c r="A365" s="3">
        <v>27</v>
      </c>
      <c r="B365" s="102"/>
      <c r="C365" s="102"/>
      <c r="D365" s="102"/>
      <c r="E365" s="102"/>
      <c r="F365" s="102"/>
      <c r="G365" s="102"/>
      <c r="H365" s="102"/>
      <c r="I365" s="102"/>
      <c r="J365" s="99"/>
      <c r="K365" s="99"/>
      <c r="L365" s="46"/>
      <c r="M365" s="6"/>
    </row>
    <row r="366" spans="1:13" ht="18">
      <c r="A366" s="3">
        <v>28</v>
      </c>
      <c r="B366" s="102"/>
      <c r="C366" s="102"/>
      <c r="D366" s="102"/>
      <c r="E366" s="102"/>
      <c r="F366" s="102"/>
      <c r="G366" s="102"/>
      <c r="H366" s="102"/>
      <c r="I366" s="102"/>
      <c r="J366" s="99"/>
      <c r="K366" s="99"/>
      <c r="L366" s="46"/>
      <c r="M366" s="6"/>
    </row>
    <row r="367" spans="1:13">
      <c r="B367" s="102"/>
      <c r="C367" s="102"/>
      <c r="D367" s="102"/>
      <c r="E367" s="102"/>
      <c r="F367" s="102"/>
      <c r="G367" s="102"/>
      <c r="H367" s="102"/>
      <c r="I367" s="102"/>
      <c r="J367" s="99"/>
      <c r="K367" s="99"/>
      <c r="L367" s="46"/>
      <c r="M367" s="6"/>
    </row>
    <row r="368" spans="1:13">
      <c r="B368" s="97"/>
      <c r="C368" s="98"/>
      <c r="D368" s="97"/>
      <c r="E368" s="98"/>
      <c r="F368" s="97"/>
      <c r="G368" s="98"/>
      <c r="H368" s="97"/>
      <c r="I368" s="98"/>
      <c r="J368" s="99"/>
      <c r="K368" s="99"/>
      <c r="L368" s="46"/>
      <c r="M368" s="6"/>
    </row>
    <row r="369" spans="1:18">
      <c r="B369" s="93"/>
      <c r="C369" s="94"/>
      <c r="D369" s="93"/>
      <c r="E369" s="94"/>
      <c r="F369" s="93"/>
      <c r="G369" s="94"/>
      <c r="H369" s="93"/>
      <c r="I369" s="94"/>
      <c r="J369" s="95"/>
      <c r="K369" s="96"/>
      <c r="L369" s="46"/>
      <c r="M369" s="6"/>
    </row>
    <row r="370" spans="1:18">
      <c r="M370" s="6"/>
    </row>
    <row r="371" spans="1:18">
      <c r="B371" s="7" t="str">
        <f>kopsavilkums!$J$2</f>
        <v>Dizšvētku Zolītes finālturnīrs Valkā 2026 (RONDO)</v>
      </c>
    </row>
    <row r="373" spans="1:18">
      <c r="G373" s="41" t="s">
        <v>62</v>
      </c>
      <c r="H373" s="43">
        <f>IF(kopsavilkums!$E$2="","",kopsavilkums!$E$2)</f>
        <v>8</v>
      </c>
    </row>
    <row r="375" spans="1:18">
      <c r="B375" s="110" t="str">
        <f>IF(N375="","",INDEX(kopsavilkums!$C$6:$C$125,N375))</f>
        <v>Ģirts Sedlenieks</v>
      </c>
      <c r="C375" s="111"/>
      <c r="D375" s="110" t="str">
        <f>IF(O375="","",INDEX(kopsavilkums!$C$6:$C$125,O375))</f>
        <v>Ilgonis Stumbenis</v>
      </c>
      <c r="E375" s="111"/>
      <c r="F375" s="110" t="str">
        <f>IF(P375="","",INDEX(kopsavilkums!$C$6:$C$125,P375))</f>
        <v>Artūrs Černauskis</v>
      </c>
      <c r="G375" s="111"/>
      <c r="H375" s="110" t="str">
        <f>IF(Q375="","",INDEX(kopsavilkums!$C$6:$C$125,Q375))</f>
        <v>Aivars Helanderis</v>
      </c>
      <c r="I375" s="111"/>
      <c r="J375" s="110" t="str">
        <f>IF(R375="","",INDEX(kopsavilkums!$C$6:$C$125,R375))</f>
        <v/>
      </c>
      <c r="K375" s="111"/>
      <c r="N375">
        <f>IF(1&gt;IF(10&lt;=(INT(kopsavilkums!$V$2/4)-MOD(kopsavilkums!$V$2,4)),4,IF(10&lt;=INT(kopsavilkums!$V$2/4),5,0)),"",IFERROR(MATCH((IF(10&lt;=(INT(kopsavilkums!$V$2/4)-MOD(kopsavilkums!$V$2,4)),(10-1)*4,(INT(kopsavilkums!$V$2/4)-MOD(kopsavilkums!$V$2,4))*4+(10-(INT(kopsavilkums!$V$2/4)-MOD(kopsavilkums!$V$2,4))-1)*5)+1),kopsavilkums!$X$6:$X$125,0),""))</f>
        <v>37</v>
      </c>
      <c r="O375">
        <f>IF(2&gt;IF(10&lt;=(INT(kopsavilkums!$V$2/4)-MOD(kopsavilkums!$V$2,4)),4,IF(10&lt;=INT(kopsavilkums!$V$2/4),5,0)),"",IFERROR(MATCH((IF(10&lt;=(INT(kopsavilkums!$V$2/4)-MOD(kopsavilkums!$V$2,4)),(10-1)*4,(INT(kopsavilkums!$V$2/4)-MOD(kopsavilkums!$V$2,4))*4+(10-(INT(kopsavilkums!$V$2/4)-MOD(kopsavilkums!$V$2,4))-1)*5)+2),kopsavilkums!$X$6:$X$125,0),""))</f>
        <v>38</v>
      </c>
      <c r="P375">
        <f>IF(3&gt;IF(10&lt;=(INT(kopsavilkums!$V$2/4)-MOD(kopsavilkums!$V$2,4)),4,IF(10&lt;=INT(kopsavilkums!$V$2/4),5,0)),"",IFERROR(MATCH((IF(10&lt;=(INT(kopsavilkums!$V$2/4)-MOD(kopsavilkums!$V$2,4)),(10-1)*4,(INT(kopsavilkums!$V$2/4)-MOD(kopsavilkums!$V$2,4))*4+(10-(INT(kopsavilkums!$V$2/4)-MOD(kopsavilkums!$V$2,4))-1)*5)+3),kopsavilkums!$X$6:$X$125,0),""))</f>
        <v>39</v>
      </c>
      <c r="Q375">
        <f>IF(4&gt;IF(10&lt;=(INT(kopsavilkums!$V$2/4)-MOD(kopsavilkums!$V$2,4)),4,IF(10&lt;=INT(kopsavilkums!$V$2/4),5,0)),"",IFERROR(MATCH((IF(10&lt;=(INT(kopsavilkums!$V$2/4)-MOD(kopsavilkums!$V$2,4)),(10-1)*4,(INT(kopsavilkums!$V$2/4)-MOD(kopsavilkums!$V$2,4))*4+(10-(INT(kopsavilkums!$V$2/4)-MOD(kopsavilkums!$V$2,4))-1)*5)+4),kopsavilkums!$X$6:$X$125,0),""))</f>
        <v>40</v>
      </c>
      <c r="R375" t="str">
        <f>IF(5&gt;IF(10&lt;=(INT(kopsavilkums!$V$2/4)-MOD(kopsavilkums!$V$2,4)),4,IF(10&lt;=INT(kopsavilkums!$V$2/4),5,0)),"",IFERROR(MATCH((IF(10&lt;=(INT(kopsavilkums!$V$2/4)-MOD(kopsavilkums!$V$2,4)),(10-1)*4,(INT(kopsavilkums!$V$2/4)-MOD(kopsavilkums!$V$2,4))*4+(10-(INT(kopsavilkums!$V$2/4)-MOD(kopsavilkums!$V$2,4))-1)*5)+5),kopsavilkums!$X$6:$X$125,0),""))</f>
        <v/>
      </c>
    </row>
    <row r="376" spans="1:18" ht="15.75">
      <c r="A376" s="4" t="s">
        <v>63</v>
      </c>
      <c r="B376" s="105">
        <f>IF(B375="","",10)</f>
        <v>10</v>
      </c>
      <c r="C376" s="105"/>
      <c r="D376" s="105">
        <f>IF(D375="","",10)</f>
        <v>10</v>
      </c>
      <c r="E376" s="105"/>
      <c r="F376" s="105">
        <f>IF(F375="","",10)</f>
        <v>10</v>
      </c>
      <c r="G376" s="105"/>
      <c r="H376" s="105">
        <f>IF(H375="","",10)</f>
        <v>10</v>
      </c>
      <c r="I376" s="105"/>
      <c r="J376" s="107" t="str">
        <f>IF(J375="","",10)</f>
        <v/>
      </c>
      <c r="K376" s="108"/>
    </row>
    <row r="377" spans="1:18" ht="15.75">
      <c r="A377" s="5" t="s">
        <v>64</v>
      </c>
      <c r="B377" s="8">
        <f>IF(N375="","",INDEX(kopsavilkums!$T$6:$T$125,N375))</f>
        <v>20</v>
      </c>
      <c r="C377" s="8">
        <f>IF(N375="","",INDEX(kopsavilkums!$U$6:$U$125,N375))</f>
        <v>-19</v>
      </c>
      <c r="D377" s="8">
        <f>IF(O375="","",INDEX(kopsavilkums!$T$6:$T$125,O375))</f>
        <v>19</v>
      </c>
      <c r="E377" s="8">
        <f>IF(O375="","",INDEX(kopsavilkums!$U$6:$U$125,O375))</f>
        <v>6</v>
      </c>
      <c r="F377" s="8">
        <f>IF(P375="","",INDEX(kopsavilkums!$T$6:$T$125,P375))</f>
        <v>18</v>
      </c>
      <c r="G377" s="8">
        <f>IF(P375="","",INDEX(kopsavilkums!$U$6:$U$125,P375))</f>
        <v>-11</v>
      </c>
      <c r="H377" s="8">
        <f>IF(Q375="","",INDEX(kopsavilkums!$T$6:$T$125,Q375))</f>
        <v>18</v>
      </c>
      <c r="I377" s="8">
        <f>IF(Q375="","",INDEX(kopsavilkums!$U$6:$U$125,Q375))</f>
        <v>-13</v>
      </c>
      <c r="J377" s="8" t="str">
        <f>IF(R375="","",INDEX(kopsavilkums!$T$6:$T$125,R375))</f>
        <v/>
      </c>
      <c r="K377" s="8" t="str">
        <f>IF(R375="","",INDEX(kopsavilkums!$U$6:$U$125,R375))</f>
        <v/>
      </c>
    </row>
    <row r="378" spans="1:18">
      <c r="L378" s="17" t="s">
        <v>66</v>
      </c>
      <c r="M378" s="18"/>
    </row>
    <row r="379" spans="1:18">
      <c r="M379" s="2"/>
    </row>
    <row r="380" spans="1:18" ht="18">
      <c r="A380" s="3">
        <v>1</v>
      </c>
      <c r="B380" s="102"/>
      <c r="C380" s="102"/>
      <c r="D380" s="102"/>
      <c r="E380" s="102"/>
      <c r="F380" s="102"/>
      <c r="G380" s="102"/>
      <c r="H380" s="102"/>
      <c r="I380" s="102"/>
      <c r="J380" s="99"/>
      <c r="K380" s="99"/>
      <c r="L380" s="46"/>
      <c r="M380" s="6"/>
    </row>
    <row r="381" spans="1:18" ht="18">
      <c r="A381" s="3">
        <v>2</v>
      </c>
      <c r="B381" s="102"/>
      <c r="C381" s="102"/>
      <c r="D381" s="102"/>
      <c r="E381" s="102"/>
      <c r="F381" s="102"/>
      <c r="G381" s="102"/>
      <c r="H381" s="102"/>
      <c r="I381" s="102"/>
      <c r="J381" s="99"/>
      <c r="K381" s="99"/>
      <c r="L381" s="46"/>
      <c r="M381" s="6"/>
    </row>
    <row r="382" spans="1:18" ht="18">
      <c r="A382" s="3">
        <v>3</v>
      </c>
      <c r="B382" s="102"/>
      <c r="C382" s="102"/>
      <c r="D382" s="102"/>
      <c r="E382" s="102"/>
      <c r="F382" s="102"/>
      <c r="G382" s="102"/>
      <c r="H382" s="102"/>
      <c r="I382" s="102"/>
      <c r="J382" s="99"/>
      <c r="K382" s="99"/>
      <c r="L382" s="46"/>
      <c r="M382" s="6"/>
    </row>
    <row r="383" spans="1:18" ht="18">
      <c r="A383" s="3">
        <v>4</v>
      </c>
      <c r="B383" s="102"/>
      <c r="C383" s="102"/>
      <c r="D383" s="102"/>
      <c r="E383" s="102"/>
      <c r="F383" s="102"/>
      <c r="G383" s="102"/>
      <c r="H383" s="102"/>
      <c r="I383" s="102"/>
      <c r="J383" s="99"/>
      <c r="K383" s="99"/>
      <c r="L383" s="46"/>
      <c r="M383" s="6"/>
    </row>
    <row r="384" spans="1:18" ht="18">
      <c r="A384" s="3">
        <v>5</v>
      </c>
      <c r="B384" s="102"/>
      <c r="C384" s="102"/>
      <c r="D384" s="102"/>
      <c r="E384" s="102"/>
      <c r="F384" s="102"/>
      <c r="G384" s="102"/>
      <c r="H384" s="102"/>
      <c r="I384" s="102"/>
      <c r="J384" s="99"/>
      <c r="K384" s="99"/>
      <c r="L384" s="46"/>
      <c r="M384" s="6"/>
    </row>
    <row r="385" spans="1:13" ht="18">
      <c r="A385" s="3">
        <v>6</v>
      </c>
      <c r="B385" s="102"/>
      <c r="C385" s="102"/>
      <c r="D385" s="102"/>
      <c r="E385" s="102"/>
      <c r="F385" s="102"/>
      <c r="G385" s="102"/>
      <c r="H385" s="102"/>
      <c r="I385" s="102"/>
      <c r="J385" s="99"/>
      <c r="K385" s="99"/>
      <c r="L385" s="46"/>
      <c r="M385" s="6"/>
    </row>
    <row r="386" spans="1:13" ht="18">
      <c r="A386" s="3">
        <v>7</v>
      </c>
      <c r="B386" s="102"/>
      <c r="C386" s="102"/>
      <c r="D386" s="102"/>
      <c r="E386" s="102"/>
      <c r="F386" s="102"/>
      <c r="G386" s="102"/>
      <c r="H386" s="102"/>
      <c r="I386" s="102"/>
      <c r="J386" s="99"/>
      <c r="K386" s="99"/>
      <c r="L386" s="46"/>
      <c r="M386" s="6"/>
    </row>
    <row r="387" spans="1:13" ht="18">
      <c r="A387" s="3">
        <v>8</v>
      </c>
      <c r="B387" s="102"/>
      <c r="C387" s="102"/>
      <c r="D387" s="102"/>
      <c r="E387" s="102"/>
      <c r="F387" s="102"/>
      <c r="G387" s="102"/>
      <c r="H387" s="102"/>
      <c r="I387" s="102"/>
      <c r="J387" s="99"/>
      <c r="K387" s="99"/>
      <c r="L387" s="46"/>
      <c r="M387" s="6"/>
    </row>
    <row r="388" spans="1:13" ht="18">
      <c r="A388" s="3">
        <v>9</v>
      </c>
      <c r="B388" s="102"/>
      <c r="C388" s="102"/>
      <c r="D388" s="102"/>
      <c r="E388" s="102"/>
      <c r="F388" s="102"/>
      <c r="G388" s="102"/>
      <c r="H388" s="102"/>
      <c r="I388" s="102"/>
      <c r="J388" s="99"/>
      <c r="K388" s="99"/>
      <c r="L388" s="46"/>
      <c r="M388" s="6"/>
    </row>
    <row r="389" spans="1:13" ht="18">
      <c r="A389" s="3">
        <v>10</v>
      </c>
      <c r="B389" s="102"/>
      <c r="C389" s="102"/>
      <c r="D389" s="102"/>
      <c r="E389" s="102"/>
      <c r="F389" s="102"/>
      <c r="G389" s="102"/>
      <c r="H389" s="102"/>
      <c r="I389" s="102"/>
      <c r="J389" s="99"/>
      <c r="K389" s="99"/>
      <c r="L389" s="46"/>
      <c r="M389" s="6"/>
    </row>
    <row r="390" spans="1:13" ht="18">
      <c r="A390" s="3">
        <v>11</v>
      </c>
      <c r="B390" s="102"/>
      <c r="C390" s="102"/>
      <c r="D390" s="102"/>
      <c r="E390" s="102"/>
      <c r="F390" s="102"/>
      <c r="G390" s="102"/>
      <c r="H390" s="102"/>
      <c r="I390" s="102"/>
      <c r="J390" s="99"/>
      <c r="K390" s="99"/>
      <c r="L390" s="46"/>
      <c r="M390" s="6"/>
    </row>
    <row r="391" spans="1:13" ht="18">
      <c r="A391" s="3">
        <v>12</v>
      </c>
      <c r="B391" s="102"/>
      <c r="C391" s="102"/>
      <c r="D391" s="102"/>
      <c r="E391" s="102"/>
      <c r="F391" s="102"/>
      <c r="G391" s="102"/>
      <c r="H391" s="102"/>
      <c r="I391" s="102"/>
      <c r="J391" s="99"/>
      <c r="K391" s="99"/>
      <c r="L391" s="46"/>
      <c r="M391" s="6"/>
    </row>
    <row r="392" spans="1:13" ht="18">
      <c r="A392" s="3">
        <v>13</v>
      </c>
      <c r="B392" s="102"/>
      <c r="C392" s="102"/>
      <c r="D392" s="102"/>
      <c r="E392" s="102"/>
      <c r="F392" s="102"/>
      <c r="G392" s="102"/>
      <c r="H392" s="102"/>
      <c r="I392" s="102"/>
      <c r="J392" s="99"/>
      <c r="K392" s="99"/>
      <c r="L392" s="46"/>
      <c r="M392" s="6"/>
    </row>
    <row r="393" spans="1:13" ht="18">
      <c r="A393" s="3">
        <v>14</v>
      </c>
      <c r="B393" s="102"/>
      <c r="C393" s="102"/>
      <c r="D393" s="102"/>
      <c r="E393" s="102"/>
      <c r="F393" s="102"/>
      <c r="G393" s="102"/>
      <c r="H393" s="102"/>
      <c r="I393" s="102"/>
      <c r="J393" s="99"/>
      <c r="K393" s="99"/>
      <c r="L393" s="46"/>
      <c r="M393" s="6"/>
    </row>
    <row r="394" spans="1:13" ht="18">
      <c r="A394" s="3">
        <v>15</v>
      </c>
      <c r="B394" s="102"/>
      <c r="C394" s="102"/>
      <c r="D394" s="102"/>
      <c r="E394" s="102"/>
      <c r="F394" s="102"/>
      <c r="G394" s="102"/>
      <c r="H394" s="102"/>
      <c r="I394" s="102"/>
      <c r="J394" s="99"/>
      <c r="K394" s="99"/>
      <c r="L394" s="46"/>
      <c r="M394" s="6"/>
    </row>
    <row r="395" spans="1:13" ht="18">
      <c r="A395" s="3">
        <v>16</v>
      </c>
      <c r="B395" s="102"/>
      <c r="C395" s="102"/>
      <c r="D395" s="102"/>
      <c r="E395" s="102"/>
      <c r="F395" s="102"/>
      <c r="G395" s="102"/>
      <c r="H395" s="102"/>
      <c r="I395" s="102"/>
      <c r="J395" s="99"/>
      <c r="K395" s="99"/>
      <c r="L395" s="46"/>
      <c r="M395" s="6"/>
    </row>
    <row r="396" spans="1:13" ht="18">
      <c r="A396" s="3">
        <v>17</v>
      </c>
      <c r="B396" s="102"/>
      <c r="C396" s="102"/>
      <c r="D396" s="102"/>
      <c r="E396" s="102"/>
      <c r="F396" s="102"/>
      <c r="G396" s="102"/>
      <c r="H396" s="102"/>
      <c r="I396" s="102"/>
      <c r="J396" s="99"/>
      <c r="K396" s="99"/>
      <c r="L396" s="46"/>
      <c r="M396" s="6"/>
    </row>
    <row r="397" spans="1:13" ht="18">
      <c r="A397" s="3">
        <v>18</v>
      </c>
      <c r="B397" s="102"/>
      <c r="C397" s="102"/>
      <c r="D397" s="102"/>
      <c r="E397" s="102"/>
      <c r="F397" s="102"/>
      <c r="G397" s="102"/>
      <c r="H397" s="102"/>
      <c r="I397" s="102"/>
      <c r="J397" s="99"/>
      <c r="K397" s="99"/>
      <c r="L397" s="46"/>
      <c r="M397" s="6"/>
    </row>
    <row r="398" spans="1:13" ht="18">
      <c r="A398" s="3">
        <v>19</v>
      </c>
      <c r="B398" s="102"/>
      <c r="C398" s="102"/>
      <c r="D398" s="102"/>
      <c r="E398" s="102"/>
      <c r="F398" s="102"/>
      <c r="G398" s="102"/>
      <c r="H398" s="102"/>
      <c r="I398" s="102"/>
      <c r="J398" s="99"/>
      <c r="K398" s="99"/>
      <c r="L398" s="46"/>
      <c r="M398" s="6"/>
    </row>
    <row r="399" spans="1:13" ht="18">
      <c r="A399" s="3">
        <v>20</v>
      </c>
      <c r="B399" s="102"/>
      <c r="C399" s="102"/>
      <c r="D399" s="102"/>
      <c r="E399" s="102"/>
      <c r="F399" s="102"/>
      <c r="G399" s="102"/>
      <c r="H399" s="102"/>
      <c r="I399" s="102"/>
      <c r="J399" s="99"/>
      <c r="K399" s="99"/>
      <c r="L399" s="46"/>
      <c r="M399" s="6"/>
    </row>
    <row r="400" spans="1:13" ht="18">
      <c r="A400" s="3">
        <v>21</v>
      </c>
      <c r="B400" s="102"/>
      <c r="C400" s="102"/>
      <c r="D400" s="102"/>
      <c r="E400" s="102"/>
      <c r="F400" s="102"/>
      <c r="G400" s="102"/>
      <c r="H400" s="102"/>
      <c r="I400" s="102"/>
      <c r="J400" s="99"/>
      <c r="K400" s="99"/>
      <c r="L400" s="46"/>
      <c r="M400" s="6"/>
    </row>
    <row r="401" spans="1:18" ht="18">
      <c r="A401" s="3">
        <v>22</v>
      </c>
      <c r="B401" s="102"/>
      <c r="C401" s="102"/>
      <c r="D401" s="102"/>
      <c r="E401" s="102"/>
      <c r="F401" s="102"/>
      <c r="G401" s="102"/>
      <c r="H401" s="102"/>
      <c r="I401" s="102"/>
      <c r="J401" s="99"/>
      <c r="K401" s="99"/>
      <c r="L401" s="46"/>
      <c r="M401" s="6"/>
    </row>
    <row r="402" spans="1:18" ht="18">
      <c r="A402" s="3">
        <v>23</v>
      </c>
      <c r="B402" s="102"/>
      <c r="C402" s="102"/>
      <c r="D402" s="102"/>
      <c r="E402" s="102"/>
      <c r="F402" s="102"/>
      <c r="G402" s="102"/>
      <c r="H402" s="102"/>
      <c r="I402" s="102"/>
      <c r="J402" s="99"/>
      <c r="K402" s="99"/>
      <c r="L402" s="46"/>
      <c r="M402" s="6"/>
    </row>
    <row r="403" spans="1:18" ht="18">
      <c r="A403" s="3">
        <v>24</v>
      </c>
      <c r="B403" s="102"/>
      <c r="C403" s="102"/>
      <c r="D403" s="102"/>
      <c r="E403" s="102"/>
      <c r="F403" s="102"/>
      <c r="G403" s="102"/>
      <c r="H403" s="102"/>
      <c r="I403" s="102"/>
      <c r="J403" s="99"/>
      <c r="K403" s="99"/>
      <c r="L403" s="46"/>
      <c r="M403" s="6"/>
    </row>
    <row r="404" spans="1:18" ht="18">
      <c r="A404" s="3">
        <v>25</v>
      </c>
      <c r="B404" s="102"/>
      <c r="C404" s="102"/>
      <c r="D404" s="102"/>
      <c r="E404" s="102"/>
      <c r="F404" s="102"/>
      <c r="G404" s="102"/>
      <c r="H404" s="102"/>
      <c r="I404" s="102"/>
      <c r="J404" s="99"/>
      <c r="K404" s="99"/>
      <c r="L404" s="46"/>
      <c r="M404" s="6"/>
    </row>
    <row r="405" spans="1:18" ht="18">
      <c r="A405" s="3">
        <v>26</v>
      </c>
      <c r="B405" s="102"/>
      <c r="C405" s="102"/>
      <c r="D405" s="102"/>
      <c r="E405" s="102"/>
      <c r="F405" s="102"/>
      <c r="G405" s="102"/>
      <c r="H405" s="102"/>
      <c r="I405" s="102"/>
      <c r="J405" s="99"/>
      <c r="K405" s="99"/>
      <c r="L405" s="46"/>
      <c r="M405" s="6"/>
    </row>
    <row r="406" spans="1:18" ht="18">
      <c r="A406" s="3">
        <v>27</v>
      </c>
      <c r="B406" s="102"/>
      <c r="C406" s="102"/>
      <c r="D406" s="102"/>
      <c r="E406" s="102"/>
      <c r="F406" s="102"/>
      <c r="G406" s="102"/>
      <c r="H406" s="102"/>
      <c r="I406" s="102"/>
      <c r="J406" s="99"/>
      <c r="K406" s="99"/>
      <c r="L406" s="46"/>
      <c r="M406" s="6"/>
    </row>
    <row r="407" spans="1:18" ht="18">
      <c r="A407" s="3">
        <v>28</v>
      </c>
      <c r="B407" s="102"/>
      <c r="C407" s="102"/>
      <c r="D407" s="102"/>
      <c r="E407" s="102"/>
      <c r="F407" s="102"/>
      <c r="G407" s="102"/>
      <c r="H407" s="102"/>
      <c r="I407" s="102"/>
      <c r="J407" s="99"/>
      <c r="K407" s="99"/>
      <c r="L407" s="46"/>
      <c r="M407" s="6"/>
    </row>
    <row r="408" spans="1:18">
      <c r="B408" s="102"/>
      <c r="C408" s="102"/>
      <c r="D408" s="102"/>
      <c r="E408" s="102"/>
      <c r="F408" s="102"/>
      <c r="G408" s="102"/>
      <c r="H408" s="102"/>
      <c r="I408" s="102"/>
      <c r="J408" s="99"/>
      <c r="K408" s="99"/>
      <c r="L408" s="46"/>
      <c r="M408" s="6"/>
    </row>
    <row r="409" spans="1:18">
      <c r="B409" s="97"/>
      <c r="C409" s="98"/>
      <c r="D409" s="97"/>
      <c r="E409" s="98"/>
      <c r="F409" s="97"/>
      <c r="G409" s="98"/>
      <c r="H409" s="97"/>
      <c r="I409" s="98"/>
      <c r="J409" s="99"/>
      <c r="K409" s="99"/>
      <c r="L409" s="46"/>
      <c r="M409" s="6"/>
    </row>
    <row r="410" spans="1:18">
      <c r="B410" s="93"/>
      <c r="C410" s="94"/>
      <c r="D410" s="93"/>
      <c r="E410" s="94"/>
      <c r="F410" s="93"/>
      <c r="G410" s="94"/>
      <c r="H410" s="93"/>
      <c r="I410" s="94"/>
      <c r="J410" s="95"/>
      <c r="K410" s="96"/>
      <c r="L410" s="46"/>
      <c r="M410" s="6"/>
    </row>
    <row r="411" spans="1:18">
      <c r="M411" s="6"/>
    </row>
    <row r="412" spans="1:18">
      <c r="B412" s="7" t="str">
        <f>kopsavilkums!$J$2</f>
        <v>Dizšvētku Zolītes finālturnīrs Valkā 2026 (RONDO)</v>
      </c>
    </row>
    <row r="414" spans="1:18">
      <c r="G414" s="41" t="s">
        <v>62</v>
      </c>
      <c r="H414" s="43">
        <f>IF(kopsavilkums!$E$2="","",kopsavilkums!$E$2)</f>
        <v>8</v>
      </c>
    </row>
    <row r="416" spans="1:18">
      <c r="B416" s="109" t="str">
        <f>IF(N416="","",INDEX(kopsavilkums!$C$6:$C$125,N416))</f>
        <v>Rūdolfs Riekstiņš</v>
      </c>
      <c r="C416" s="101"/>
      <c r="D416" s="109" t="str">
        <f>IF(O416="","",INDEX(kopsavilkums!$C$6:$C$125,O416))</f>
        <v>Gints Krauklis</v>
      </c>
      <c r="E416" s="101"/>
      <c r="F416" s="109" t="str">
        <f>IF(P416="","",INDEX(kopsavilkums!$C$6:$C$125,P416))</f>
        <v>Jānis Savielis</v>
      </c>
      <c r="G416" s="101"/>
      <c r="H416" s="109" t="str">
        <f>IF(Q416="","",INDEX(kopsavilkums!$C$6:$C$125,Q416))</f>
        <v>Igors Vistiņš</v>
      </c>
      <c r="I416" s="101"/>
      <c r="J416" s="109" t="str">
        <f>IF(R416="","",INDEX(kopsavilkums!$C$6:$C$125,R416))</f>
        <v/>
      </c>
      <c r="K416" s="101"/>
      <c r="N416">
        <f>IF(1&gt;IF(11&lt;=(INT(kopsavilkums!$V$2/4)-MOD(kopsavilkums!$V$2,4)),4,IF(11&lt;=INT(kopsavilkums!$V$2/4),5,0)),"",IFERROR(MATCH((IF(11&lt;=(INT(kopsavilkums!$V$2/4)-MOD(kopsavilkums!$V$2,4)),(11-1)*4,(INT(kopsavilkums!$V$2/4)-MOD(kopsavilkums!$V$2,4))*4+(11-(INT(kopsavilkums!$V$2/4)-MOD(kopsavilkums!$V$2,4))-1)*5)+1),kopsavilkums!$X$6:$X$125,0),""))</f>
        <v>41</v>
      </c>
      <c r="O416">
        <f>IF(2&gt;IF(11&lt;=(INT(kopsavilkums!$V$2/4)-MOD(kopsavilkums!$V$2,4)),4,IF(11&lt;=INT(kopsavilkums!$V$2/4),5,0)),"",IFERROR(MATCH((IF(11&lt;=(INT(kopsavilkums!$V$2/4)-MOD(kopsavilkums!$V$2,4)),(11-1)*4,(INT(kopsavilkums!$V$2/4)-MOD(kopsavilkums!$V$2,4))*4+(11-(INT(kopsavilkums!$V$2/4)-MOD(kopsavilkums!$V$2,4))-1)*5)+2),kopsavilkums!$X$6:$X$125,0),""))</f>
        <v>42</v>
      </c>
      <c r="P416">
        <f>IF(3&gt;IF(11&lt;=(INT(kopsavilkums!$V$2/4)-MOD(kopsavilkums!$V$2,4)),4,IF(11&lt;=INT(kopsavilkums!$V$2/4),5,0)),"",IFERROR(MATCH((IF(11&lt;=(INT(kopsavilkums!$V$2/4)-MOD(kopsavilkums!$V$2,4)),(11-1)*4,(INT(kopsavilkums!$V$2/4)-MOD(kopsavilkums!$V$2,4))*4+(11-(INT(kopsavilkums!$V$2/4)-MOD(kopsavilkums!$V$2,4))-1)*5)+3),kopsavilkums!$X$6:$X$125,0),""))</f>
        <v>43</v>
      </c>
      <c r="Q416">
        <f>IF(4&gt;IF(11&lt;=(INT(kopsavilkums!$V$2/4)-MOD(kopsavilkums!$V$2,4)),4,IF(11&lt;=INT(kopsavilkums!$V$2/4),5,0)),"",IFERROR(MATCH((IF(11&lt;=(INT(kopsavilkums!$V$2/4)-MOD(kopsavilkums!$V$2,4)),(11-1)*4,(INT(kopsavilkums!$V$2/4)-MOD(kopsavilkums!$V$2,4))*4+(11-(INT(kopsavilkums!$V$2/4)-MOD(kopsavilkums!$V$2,4))-1)*5)+4),kopsavilkums!$X$6:$X$125,0),""))</f>
        <v>44</v>
      </c>
      <c r="R416" t="str">
        <f>IF(5&gt;IF(11&lt;=(INT(kopsavilkums!$V$2/4)-MOD(kopsavilkums!$V$2,4)),4,IF(11&lt;=INT(kopsavilkums!$V$2/4),5,0)),"",IFERROR(MATCH((IF(11&lt;=(INT(kopsavilkums!$V$2/4)-MOD(kopsavilkums!$V$2,4)),(11-1)*4,(INT(kopsavilkums!$V$2/4)-MOD(kopsavilkums!$V$2,4))*4+(11-(INT(kopsavilkums!$V$2/4)-MOD(kopsavilkums!$V$2,4))-1)*5)+5),kopsavilkums!$X$6:$X$125,0),""))</f>
        <v/>
      </c>
    </row>
    <row r="417" spans="1:13" ht="15.75">
      <c r="A417" s="4" t="s">
        <v>63</v>
      </c>
      <c r="B417" s="105">
        <f>IF(B416="","",11)</f>
        <v>11</v>
      </c>
      <c r="C417" s="105"/>
      <c r="D417" s="105">
        <f>IF(D416="","",11)</f>
        <v>11</v>
      </c>
      <c r="E417" s="105"/>
      <c r="F417" s="105">
        <f>IF(F416="","",11)</f>
        <v>11</v>
      </c>
      <c r="G417" s="105"/>
      <c r="H417" s="105">
        <f>IF(H416="","",11)</f>
        <v>11</v>
      </c>
      <c r="I417" s="105"/>
      <c r="J417" s="107" t="str">
        <f>IF(J416="","",11)</f>
        <v/>
      </c>
      <c r="K417" s="108"/>
    </row>
    <row r="418" spans="1:13" ht="15.75">
      <c r="A418" s="5" t="s">
        <v>64</v>
      </c>
      <c r="B418" s="8">
        <f>IF(N416="","",INDEX(kopsavilkums!$T$6:$T$125,N416))</f>
        <v>18</v>
      </c>
      <c r="C418" s="8">
        <f>IF(N416="","",INDEX(kopsavilkums!$U$6:$U$125,N416))</f>
        <v>-14</v>
      </c>
      <c r="D418" s="8">
        <f>IF(O416="","",INDEX(kopsavilkums!$T$6:$T$125,O416))</f>
        <v>18</v>
      </c>
      <c r="E418" s="8">
        <f>IF(O416="","",INDEX(kopsavilkums!$U$6:$U$125,O416))</f>
        <v>-40</v>
      </c>
      <c r="F418" s="8">
        <f>IF(P416="","",INDEX(kopsavilkums!$T$6:$T$125,P416))</f>
        <v>18</v>
      </c>
      <c r="G418" s="8">
        <f>IF(P416="","",INDEX(kopsavilkums!$U$6:$U$125,P416))</f>
        <v>-40</v>
      </c>
      <c r="H418" s="8">
        <f>IF(Q416="","",INDEX(kopsavilkums!$T$6:$T$125,Q416))</f>
        <v>17</v>
      </c>
      <c r="I418" s="8">
        <f>IF(Q416="","",INDEX(kopsavilkums!$U$6:$U$125,Q416))</f>
        <v>-21</v>
      </c>
      <c r="J418" s="8" t="str">
        <f>IF(R416="","",INDEX(kopsavilkums!$T$6:$T$125,R416))</f>
        <v/>
      </c>
      <c r="K418" s="8" t="str">
        <f>IF(R416="","",INDEX(kopsavilkums!$U$6:$U$125,R416))</f>
        <v/>
      </c>
    </row>
    <row r="419" spans="1:13">
      <c r="L419" s="17" t="s">
        <v>66</v>
      </c>
      <c r="M419" s="18"/>
    </row>
    <row r="420" spans="1:13">
      <c r="M420" s="2"/>
    </row>
    <row r="421" spans="1:13" ht="18">
      <c r="A421" s="3">
        <v>1</v>
      </c>
      <c r="B421" s="102"/>
      <c r="C421" s="102"/>
      <c r="D421" s="102"/>
      <c r="E421" s="102"/>
      <c r="F421" s="102"/>
      <c r="G421" s="102"/>
      <c r="H421" s="102"/>
      <c r="I421" s="102"/>
      <c r="J421" s="99"/>
      <c r="K421" s="99"/>
      <c r="L421" s="46"/>
      <c r="M421" s="6"/>
    </row>
    <row r="422" spans="1:13" ht="18">
      <c r="A422" s="3">
        <v>2</v>
      </c>
      <c r="B422" s="102"/>
      <c r="C422" s="102"/>
      <c r="D422" s="102"/>
      <c r="E422" s="102"/>
      <c r="F422" s="102"/>
      <c r="G422" s="102"/>
      <c r="H422" s="102"/>
      <c r="I422" s="102"/>
      <c r="J422" s="99"/>
      <c r="K422" s="99"/>
      <c r="L422" s="46"/>
      <c r="M422" s="6"/>
    </row>
    <row r="423" spans="1:13" ht="18">
      <c r="A423" s="3">
        <v>3</v>
      </c>
      <c r="B423" s="102"/>
      <c r="C423" s="102"/>
      <c r="D423" s="102"/>
      <c r="E423" s="102"/>
      <c r="F423" s="102"/>
      <c r="G423" s="102"/>
      <c r="H423" s="102"/>
      <c r="I423" s="102"/>
      <c r="J423" s="99"/>
      <c r="K423" s="99"/>
      <c r="L423" s="46"/>
      <c r="M423" s="6"/>
    </row>
    <row r="424" spans="1:13" ht="18">
      <c r="A424" s="3">
        <v>4</v>
      </c>
      <c r="B424" s="102"/>
      <c r="C424" s="102"/>
      <c r="D424" s="102"/>
      <c r="E424" s="102"/>
      <c r="F424" s="102"/>
      <c r="G424" s="102"/>
      <c r="H424" s="102"/>
      <c r="I424" s="102"/>
      <c r="J424" s="99"/>
      <c r="K424" s="99"/>
      <c r="L424" s="46"/>
      <c r="M424" s="6"/>
    </row>
    <row r="425" spans="1:13" ht="18">
      <c r="A425" s="3">
        <v>5</v>
      </c>
      <c r="B425" s="102"/>
      <c r="C425" s="102"/>
      <c r="D425" s="102"/>
      <c r="E425" s="102"/>
      <c r="F425" s="102"/>
      <c r="G425" s="102"/>
      <c r="H425" s="102"/>
      <c r="I425" s="102"/>
      <c r="J425" s="99"/>
      <c r="K425" s="99"/>
      <c r="L425" s="46"/>
      <c r="M425" s="6"/>
    </row>
    <row r="426" spans="1:13" ht="18">
      <c r="A426" s="3">
        <v>6</v>
      </c>
      <c r="B426" s="102"/>
      <c r="C426" s="102"/>
      <c r="D426" s="102"/>
      <c r="E426" s="102"/>
      <c r="F426" s="102"/>
      <c r="G426" s="102"/>
      <c r="H426" s="102"/>
      <c r="I426" s="102"/>
      <c r="J426" s="99"/>
      <c r="K426" s="99"/>
      <c r="L426" s="46"/>
      <c r="M426" s="6"/>
    </row>
    <row r="427" spans="1:13" ht="18">
      <c r="A427" s="3">
        <v>7</v>
      </c>
      <c r="B427" s="102"/>
      <c r="C427" s="102"/>
      <c r="D427" s="102"/>
      <c r="E427" s="102"/>
      <c r="F427" s="102"/>
      <c r="G427" s="102"/>
      <c r="H427" s="102"/>
      <c r="I427" s="102"/>
      <c r="J427" s="99"/>
      <c r="K427" s="99"/>
      <c r="L427" s="46"/>
      <c r="M427" s="6"/>
    </row>
    <row r="428" spans="1:13" ht="18">
      <c r="A428" s="3">
        <v>8</v>
      </c>
      <c r="B428" s="102"/>
      <c r="C428" s="102"/>
      <c r="D428" s="102"/>
      <c r="E428" s="102"/>
      <c r="F428" s="102"/>
      <c r="G428" s="102"/>
      <c r="H428" s="102"/>
      <c r="I428" s="102"/>
      <c r="J428" s="99"/>
      <c r="K428" s="99"/>
      <c r="L428" s="46"/>
      <c r="M428" s="6"/>
    </row>
    <row r="429" spans="1:13" ht="18">
      <c r="A429" s="3">
        <v>9</v>
      </c>
      <c r="B429" s="102"/>
      <c r="C429" s="102"/>
      <c r="D429" s="102"/>
      <c r="E429" s="102"/>
      <c r="F429" s="102"/>
      <c r="G429" s="102"/>
      <c r="H429" s="102"/>
      <c r="I429" s="102"/>
      <c r="J429" s="99"/>
      <c r="K429" s="99"/>
      <c r="L429" s="46"/>
      <c r="M429" s="6"/>
    </row>
    <row r="430" spans="1:13" ht="18">
      <c r="A430" s="3">
        <v>10</v>
      </c>
      <c r="B430" s="102"/>
      <c r="C430" s="102"/>
      <c r="D430" s="102"/>
      <c r="E430" s="102"/>
      <c r="F430" s="102"/>
      <c r="G430" s="102"/>
      <c r="H430" s="102"/>
      <c r="I430" s="102"/>
      <c r="J430" s="99"/>
      <c r="K430" s="99"/>
      <c r="L430" s="46"/>
      <c r="M430" s="6"/>
    </row>
    <row r="431" spans="1:13" ht="18">
      <c r="A431" s="3">
        <v>11</v>
      </c>
      <c r="B431" s="102"/>
      <c r="C431" s="102"/>
      <c r="D431" s="102"/>
      <c r="E431" s="102"/>
      <c r="F431" s="102"/>
      <c r="G431" s="102"/>
      <c r="H431" s="102"/>
      <c r="I431" s="102"/>
      <c r="J431" s="99"/>
      <c r="K431" s="99"/>
      <c r="L431" s="46"/>
      <c r="M431" s="6"/>
    </row>
    <row r="432" spans="1:13" ht="18">
      <c r="A432" s="3">
        <v>12</v>
      </c>
      <c r="B432" s="102"/>
      <c r="C432" s="102"/>
      <c r="D432" s="102"/>
      <c r="E432" s="102"/>
      <c r="F432" s="102"/>
      <c r="G432" s="102"/>
      <c r="H432" s="102"/>
      <c r="I432" s="102"/>
      <c r="J432" s="99"/>
      <c r="K432" s="99"/>
      <c r="L432" s="46"/>
      <c r="M432" s="6"/>
    </row>
    <row r="433" spans="1:13" ht="18">
      <c r="A433" s="3">
        <v>13</v>
      </c>
      <c r="B433" s="102"/>
      <c r="C433" s="102"/>
      <c r="D433" s="102"/>
      <c r="E433" s="102"/>
      <c r="F433" s="102"/>
      <c r="G433" s="102"/>
      <c r="H433" s="102"/>
      <c r="I433" s="102"/>
      <c r="J433" s="99"/>
      <c r="K433" s="99"/>
      <c r="L433" s="46"/>
      <c r="M433" s="6"/>
    </row>
    <row r="434" spans="1:13" ht="18">
      <c r="A434" s="3">
        <v>14</v>
      </c>
      <c r="B434" s="102"/>
      <c r="C434" s="102"/>
      <c r="D434" s="102"/>
      <c r="E434" s="102"/>
      <c r="F434" s="102"/>
      <c r="G434" s="102"/>
      <c r="H434" s="102"/>
      <c r="I434" s="102"/>
      <c r="J434" s="99"/>
      <c r="K434" s="99"/>
      <c r="L434" s="46"/>
      <c r="M434" s="6"/>
    </row>
    <row r="435" spans="1:13" ht="18">
      <c r="A435" s="3">
        <v>15</v>
      </c>
      <c r="B435" s="102"/>
      <c r="C435" s="102"/>
      <c r="D435" s="102"/>
      <c r="E435" s="102"/>
      <c r="F435" s="102"/>
      <c r="G435" s="102"/>
      <c r="H435" s="102"/>
      <c r="I435" s="102"/>
      <c r="J435" s="99"/>
      <c r="K435" s="99"/>
      <c r="L435" s="46"/>
      <c r="M435" s="6"/>
    </row>
    <row r="436" spans="1:13" ht="18">
      <c r="A436" s="3">
        <v>16</v>
      </c>
      <c r="B436" s="102"/>
      <c r="C436" s="102"/>
      <c r="D436" s="102"/>
      <c r="E436" s="102"/>
      <c r="F436" s="102"/>
      <c r="G436" s="102"/>
      <c r="H436" s="102"/>
      <c r="I436" s="102"/>
      <c r="J436" s="99"/>
      <c r="K436" s="99"/>
      <c r="L436" s="46"/>
      <c r="M436" s="6"/>
    </row>
    <row r="437" spans="1:13" ht="18">
      <c r="A437" s="3">
        <v>17</v>
      </c>
      <c r="B437" s="102"/>
      <c r="C437" s="102"/>
      <c r="D437" s="102"/>
      <c r="E437" s="102"/>
      <c r="F437" s="102"/>
      <c r="G437" s="102"/>
      <c r="H437" s="102"/>
      <c r="I437" s="102"/>
      <c r="J437" s="99"/>
      <c r="K437" s="99"/>
      <c r="L437" s="46"/>
      <c r="M437" s="6"/>
    </row>
    <row r="438" spans="1:13" ht="18">
      <c r="A438" s="3">
        <v>18</v>
      </c>
      <c r="B438" s="102"/>
      <c r="C438" s="102"/>
      <c r="D438" s="102"/>
      <c r="E438" s="102"/>
      <c r="F438" s="102"/>
      <c r="G438" s="102"/>
      <c r="H438" s="102"/>
      <c r="I438" s="102"/>
      <c r="J438" s="99"/>
      <c r="K438" s="99"/>
      <c r="L438" s="46"/>
      <c r="M438" s="6"/>
    </row>
    <row r="439" spans="1:13" ht="18">
      <c r="A439" s="3">
        <v>19</v>
      </c>
      <c r="B439" s="102"/>
      <c r="C439" s="102"/>
      <c r="D439" s="102"/>
      <c r="E439" s="102"/>
      <c r="F439" s="102"/>
      <c r="G439" s="102"/>
      <c r="H439" s="102"/>
      <c r="I439" s="102"/>
      <c r="J439" s="99"/>
      <c r="K439" s="99"/>
      <c r="L439" s="46"/>
      <c r="M439" s="6"/>
    </row>
    <row r="440" spans="1:13" ht="18">
      <c r="A440" s="3">
        <v>20</v>
      </c>
      <c r="B440" s="102"/>
      <c r="C440" s="102"/>
      <c r="D440" s="102"/>
      <c r="E440" s="102"/>
      <c r="F440" s="102"/>
      <c r="G440" s="102"/>
      <c r="H440" s="102"/>
      <c r="I440" s="102"/>
      <c r="J440" s="99"/>
      <c r="K440" s="99"/>
      <c r="L440" s="46"/>
      <c r="M440" s="6"/>
    </row>
    <row r="441" spans="1:13" ht="18">
      <c r="A441" s="3">
        <v>21</v>
      </c>
      <c r="B441" s="102"/>
      <c r="C441" s="102"/>
      <c r="D441" s="102"/>
      <c r="E441" s="102"/>
      <c r="F441" s="102"/>
      <c r="G441" s="102"/>
      <c r="H441" s="102"/>
      <c r="I441" s="102"/>
      <c r="J441" s="99"/>
      <c r="K441" s="99"/>
      <c r="L441" s="46"/>
      <c r="M441" s="6"/>
    </row>
    <row r="442" spans="1:13" ht="18">
      <c r="A442" s="3">
        <v>22</v>
      </c>
      <c r="B442" s="102"/>
      <c r="C442" s="102"/>
      <c r="D442" s="102"/>
      <c r="E442" s="102"/>
      <c r="F442" s="102"/>
      <c r="G442" s="102"/>
      <c r="H442" s="102"/>
      <c r="I442" s="102"/>
      <c r="J442" s="99"/>
      <c r="K442" s="99"/>
      <c r="L442" s="46"/>
      <c r="M442" s="6"/>
    </row>
    <row r="443" spans="1:13" ht="18">
      <c r="A443" s="3">
        <v>23</v>
      </c>
      <c r="B443" s="102"/>
      <c r="C443" s="102"/>
      <c r="D443" s="102"/>
      <c r="E443" s="102"/>
      <c r="F443" s="102"/>
      <c r="G443" s="102"/>
      <c r="H443" s="102"/>
      <c r="I443" s="102"/>
      <c r="J443" s="99"/>
      <c r="K443" s="99"/>
      <c r="L443" s="46"/>
      <c r="M443" s="6"/>
    </row>
    <row r="444" spans="1:13" ht="18">
      <c r="A444" s="3">
        <v>24</v>
      </c>
      <c r="B444" s="102"/>
      <c r="C444" s="102"/>
      <c r="D444" s="102"/>
      <c r="E444" s="102"/>
      <c r="F444" s="102"/>
      <c r="G444" s="102"/>
      <c r="H444" s="102"/>
      <c r="I444" s="102"/>
      <c r="J444" s="99"/>
      <c r="K444" s="99"/>
      <c r="L444" s="46"/>
      <c r="M444" s="6"/>
    </row>
    <row r="445" spans="1:13" ht="18">
      <c r="A445" s="3">
        <v>25</v>
      </c>
      <c r="B445" s="102"/>
      <c r="C445" s="102"/>
      <c r="D445" s="102"/>
      <c r="E445" s="102"/>
      <c r="F445" s="102"/>
      <c r="G445" s="102"/>
      <c r="H445" s="102"/>
      <c r="I445" s="102"/>
      <c r="J445" s="99"/>
      <c r="K445" s="99"/>
      <c r="L445" s="46"/>
      <c r="M445" s="6"/>
    </row>
    <row r="446" spans="1:13" ht="18">
      <c r="A446" s="3">
        <v>26</v>
      </c>
      <c r="B446" s="102"/>
      <c r="C446" s="102"/>
      <c r="D446" s="102"/>
      <c r="E446" s="102"/>
      <c r="F446" s="102"/>
      <c r="G446" s="102"/>
      <c r="H446" s="102"/>
      <c r="I446" s="102"/>
      <c r="J446" s="99"/>
      <c r="K446" s="99"/>
      <c r="L446" s="46"/>
      <c r="M446" s="6"/>
    </row>
    <row r="447" spans="1:13" ht="18">
      <c r="A447" s="3">
        <v>27</v>
      </c>
      <c r="B447" s="102"/>
      <c r="C447" s="102"/>
      <c r="D447" s="102"/>
      <c r="E447" s="102"/>
      <c r="F447" s="102"/>
      <c r="G447" s="102"/>
      <c r="H447" s="102"/>
      <c r="I447" s="102"/>
      <c r="J447" s="99"/>
      <c r="K447" s="99"/>
      <c r="L447" s="46"/>
      <c r="M447" s="6"/>
    </row>
    <row r="448" spans="1:13" ht="18">
      <c r="A448" s="3">
        <v>28</v>
      </c>
      <c r="B448" s="102"/>
      <c r="C448" s="102"/>
      <c r="D448" s="102"/>
      <c r="E448" s="102"/>
      <c r="F448" s="102"/>
      <c r="G448" s="102"/>
      <c r="H448" s="102"/>
      <c r="I448" s="102"/>
      <c r="J448" s="99"/>
      <c r="K448" s="99"/>
      <c r="L448" s="46"/>
      <c r="M448" s="6"/>
    </row>
    <row r="449" spans="1:18">
      <c r="B449" s="102"/>
      <c r="C449" s="102"/>
      <c r="D449" s="102"/>
      <c r="E449" s="102"/>
      <c r="F449" s="102"/>
      <c r="G449" s="102"/>
      <c r="H449" s="102"/>
      <c r="I449" s="102"/>
      <c r="J449" s="99"/>
      <c r="K449" s="99"/>
      <c r="L449" s="46"/>
      <c r="M449" s="6"/>
    </row>
    <row r="450" spans="1:18">
      <c r="B450" s="97"/>
      <c r="C450" s="98"/>
      <c r="D450" s="97"/>
      <c r="E450" s="98"/>
      <c r="F450" s="97"/>
      <c r="G450" s="98"/>
      <c r="H450" s="97"/>
      <c r="I450" s="98"/>
      <c r="J450" s="99"/>
      <c r="K450" s="99"/>
      <c r="L450" s="46"/>
      <c r="M450" s="6"/>
    </row>
    <row r="451" spans="1:18">
      <c r="B451" s="93"/>
      <c r="C451" s="94"/>
      <c r="D451" s="93"/>
      <c r="E451" s="94"/>
      <c r="F451" s="93"/>
      <c r="G451" s="94"/>
      <c r="H451" s="93"/>
      <c r="I451" s="94"/>
      <c r="J451" s="95"/>
      <c r="K451" s="96"/>
      <c r="L451" s="46"/>
      <c r="M451" s="6"/>
    </row>
    <row r="452" spans="1:18">
      <c r="M452" s="6"/>
    </row>
    <row r="453" spans="1:18">
      <c r="B453" s="7" t="str">
        <f>kopsavilkums!$J$2</f>
        <v>Dizšvētku Zolītes finālturnīrs Valkā 2026 (RONDO)</v>
      </c>
    </row>
    <row r="455" spans="1:18">
      <c r="G455" s="41" t="s">
        <v>62</v>
      </c>
      <c r="H455" s="43">
        <f>IF(kopsavilkums!$E$2="","",kopsavilkums!$E$2)</f>
        <v>8</v>
      </c>
    </row>
    <row r="457" spans="1:18">
      <c r="B457" s="109" t="str">
        <f>IF(N457="","",INDEX(kopsavilkums!$C$6:$C$125,N457))</f>
        <v>Ilgvars Gritāns</v>
      </c>
      <c r="C457" s="101"/>
      <c r="D457" s="109" t="str">
        <f>IF(O457="","",INDEX(kopsavilkums!$C$6:$C$125,O457))</f>
        <v>Reinis Kalnbērziņš</v>
      </c>
      <c r="E457" s="101"/>
      <c r="F457" s="109" t="str">
        <f>IF(P457="","",INDEX(kopsavilkums!$C$6:$C$125,P457))</f>
        <v>Jānis Pliskovs</v>
      </c>
      <c r="G457" s="101"/>
      <c r="H457" s="109" t="str">
        <f>IF(Q457="","",INDEX(kopsavilkums!$C$6:$C$125,Q457))</f>
        <v>Maksims Nikolajevs</v>
      </c>
      <c r="I457" s="101"/>
      <c r="J457" s="109" t="str">
        <f>IF(R457="","",INDEX(kopsavilkums!$C$6:$C$125,R457))</f>
        <v/>
      </c>
      <c r="K457" s="101"/>
      <c r="N457">
        <f>IF(1&gt;IF(12&lt;=(INT(kopsavilkums!$V$2/4)-MOD(kopsavilkums!$V$2,4)),4,IF(12&lt;=INT(kopsavilkums!$V$2/4),5,0)),"",IFERROR(MATCH((IF(12&lt;=(INT(kopsavilkums!$V$2/4)-MOD(kopsavilkums!$V$2,4)),(12-1)*4,(INT(kopsavilkums!$V$2/4)-MOD(kopsavilkums!$V$2,4))*4+(12-(INT(kopsavilkums!$V$2/4)-MOD(kopsavilkums!$V$2,4))-1)*5)+1),kopsavilkums!$X$6:$X$125,0),""))</f>
        <v>45</v>
      </c>
      <c r="O457">
        <f>IF(2&gt;IF(12&lt;=(INT(kopsavilkums!$V$2/4)-MOD(kopsavilkums!$V$2,4)),4,IF(12&lt;=INT(kopsavilkums!$V$2/4),5,0)),"",IFERROR(MATCH((IF(12&lt;=(INT(kopsavilkums!$V$2/4)-MOD(kopsavilkums!$V$2,4)),(12-1)*4,(INT(kopsavilkums!$V$2/4)-MOD(kopsavilkums!$V$2,4))*4+(12-(INT(kopsavilkums!$V$2/4)-MOD(kopsavilkums!$V$2,4))-1)*5)+2),kopsavilkums!$X$6:$X$125,0),""))</f>
        <v>46</v>
      </c>
      <c r="P457">
        <f>IF(3&gt;IF(12&lt;=(INT(kopsavilkums!$V$2/4)-MOD(kopsavilkums!$V$2,4)),4,IF(12&lt;=INT(kopsavilkums!$V$2/4),5,0)),"",IFERROR(MATCH((IF(12&lt;=(INT(kopsavilkums!$V$2/4)-MOD(kopsavilkums!$V$2,4)),(12-1)*4,(INT(kopsavilkums!$V$2/4)-MOD(kopsavilkums!$V$2,4))*4+(12-(INT(kopsavilkums!$V$2/4)-MOD(kopsavilkums!$V$2,4))-1)*5)+3),kopsavilkums!$X$6:$X$125,0),""))</f>
        <v>47</v>
      </c>
      <c r="Q457">
        <f>IF(4&gt;IF(12&lt;=(INT(kopsavilkums!$V$2/4)-MOD(kopsavilkums!$V$2,4)),4,IF(12&lt;=INT(kopsavilkums!$V$2/4),5,0)),"",IFERROR(MATCH((IF(12&lt;=(INT(kopsavilkums!$V$2/4)-MOD(kopsavilkums!$V$2,4)),(12-1)*4,(INT(kopsavilkums!$V$2/4)-MOD(kopsavilkums!$V$2,4))*4+(12-(INT(kopsavilkums!$V$2/4)-MOD(kopsavilkums!$V$2,4))-1)*5)+4),kopsavilkums!$X$6:$X$125,0),""))</f>
        <v>48</v>
      </c>
      <c r="R457" t="str">
        <f>IF(5&gt;IF(12&lt;=(INT(kopsavilkums!$V$2/4)-MOD(kopsavilkums!$V$2,4)),4,IF(12&lt;=INT(kopsavilkums!$V$2/4),5,0)),"",IFERROR(MATCH((IF(12&lt;=(INT(kopsavilkums!$V$2/4)-MOD(kopsavilkums!$V$2,4)),(12-1)*4,(INT(kopsavilkums!$V$2/4)-MOD(kopsavilkums!$V$2,4))*4+(12-(INT(kopsavilkums!$V$2/4)-MOD(kopsavilkums!$V$2,4))-1)*5)+5),kopsavilkums!$X$6:$X$125,0),""))</f>
        <v/>
      </c>
    </row>
    <row r="458" spans="1:18" ht="15.75">
      <c r="A458" s="4" t="s">
        <v>63</v>
      </c>
      <c r="B458" s="105">
        <f>IF(B457="","",12)</f>
        <v>12</v>
      </c>
      <c r="C458" s="105"/>
      <c r="D458" s="105">
        <f>IF(D457="","",12)</f>
        <v>12</v>
      </c>
      <c r="E458" s="105"/>
      <c r="F458" s="105">
        <f>IF(F457="","",12)</f>
        <v>12</v>
      </c>
      <c r="G458" s="105"/>
      <c r="H458" s="105">
        <f>IF(H457="","",12)</f>
        <v>12</v>
      </c>
      <c r="I458" s="105"/>
      <c r="J458" s="107" t="str">
        <f>IF(J457="","",12)</f>
        <v/>
      </c>
      <c r="K458" s="108"/>
    </row>
    <row r="459" spans="1:18" ht="15.75">
      <c r="A459" s="5" t="s">
        <v>64</v>
      </c>
      <c r="B459" s="8">
        <f>IF(N457="","",INDEX(kopsavilkums!$T$6:$T$125,N457))</f>
        <v>17</v>
      </c>
      <c r="C459" s="8">
        <f>IF(N457="","",INDEX(kopsavilkums!$U$6:$U$125,N457))</f>
        <v>-30</v>
      </c>
      <c r="D459" s="8">
        <f>IF(O457="","",INDEX(kopsavilkums!$T$6:$T$125,O457))</f>
        <v>17</v>
      </c>
      <c r="E459" s="8">
        <f>IF(O457="","",INDEX(kopsavilkums!$U$6:$U$125,O457))</f>
        <v>-32</v>
      </c>
      <c r="F459" s="8">
        <f>IF(P457="","",INDEX(kopsavilkums!$T$6:$T$125,P457))</f>
        <v>16</v>
      </c>
      <c r="G459" s="8">
        <f>IF(P457="","",INDEX(kopsavilkums!$U$6:$U$125,P457))</f>
        <v>-16</v>
      </c>
      <c r="H459" s="8">
        <f>IF(Q457="","",INDEX(kopsavilkums!$T$6:$T$125,Q457))</f>
        <v>16</v>
      </c>
      <c r="I459" s="8">
        <f>IF(Q457="","",INDEX(kopsavilkums!$U$6:$U$125,Q457))</f>
        <v>-16</v>
      </c>
      <c r="J459" s="8" t="str">
        <f>IF(R457="","",INDEX(kopsavilkums!$T$6:$T$125,R457))</f>
        <v/>
      </c>
      <c r="K459" s="8" t="str">
        <f>IF(R457="","",INDEX(kopsavilkums!$U$6:$U$125,R457))</f>
        <v/>
      </c>
    </row>
    <row r="460" spans="1:18">
      <c r="L460" s="17" t="s">
        <v>66</v>
      </c>
      <c r="M460" s="18"/>
    </row>
    <row r="461" spans="1:18">
      <c r="M461" s="2"/>
    </row>
    <row r="462" spans="1:18" ht="18">
      <c r="A462" s="3">
        <v>1</v>
      </c>
      <c r="B462" s="102"/>
      <c r="C462" s="102"/>
      <c r="D462" s="102"/>
      <c r="E462" s="102"/>
      <c r="F462" s="102"/>
      <c r="G462" s="102"/>
      <c r="H462" s="102"/>
      <c r="I462" s="102"/>
      <c r="J462" s="99"/>
      <c r="K462" s="99"/>
      <c r="L462" s="46"/>
      <c r="M462" s="6"/>
    </row>
    <row r="463" spans="1:18" ht="18">
      <c r="A463" s="3">
        <v>2</v>
      </c>
      <c r="B463" s="102"/>
      <c r="C463" s="102"/>
      <c r="D463" s="102"/>
      <c r="E463" s="102"/>
      <c r="F463" s="102"/>
      <c r="G463" s="102"/>
      <c r="H463" s="102"/>
      <c r="I463" s="102"/>
      <c r="J463" s="99"/>
      <c r="K463" s="99"/>
      <c r="L463" s="46"/>
      <c r="M463" s="6"/>
    </row>
    <row r="464" spans="1:18" ht="18">
      <c r="A464" s="3">
        <v>3</v>
      </c>
      <c r="B464" s="102"/>
      <c r="C464" s="102"/>
      <c r="D464" s="102"/>
      <c r="E464" s="102"/>
      <c r="F464" s="102"/>
      <c r="G464" s="102"/>
      <c r="H464" s="102"/>
      <c r="I464" s="102"/>
      <c r="J464" s="99"/>
      <c r="K464" s="99"/>
      <c r="L464" s="46"/>
      <c r="M464" s="6"/>
    </row>
    <row r="465" spans="1:13" ht="18">
      <c r="A465" s="3">
        <v>4</v>
      </c>
      <c r="B465" s="102"/>
      <c r="C465" s="102"/>
      <c r="D465" s="102"/>
      <c r="E465" s="102"/>
      <c r="F465" s="102"/>
      <c r="G465" s="102"/>
      <c r="H465" s="102"/>
      <c r="I465" s="102"/>
      <c r="J465" s="99"/>
      <c r="K465" s="99"/>
      <c r="L465" s="46"/>
      <c r="M465" s="6"/>
    </row>
    <row r="466" spans="1:13" ht="18">
      <c r="A466" s="3">
        <v>5</v>
      </c>
      <c r="B466" s="102"/>
      <c r="C466" s="102"/>
      <c r="D466" s="102"/>
      <c r="E466" s="102"/>
      <c r="F466" s="102"/>
      <c r="G466" s="102"/>
      <c r="H466" s="102"/>
      <c r="I466" s="102"/>
      <c r="J466" s="99"/>
      <c r="K466" s="99"/>
      <c r="L466" s="46"/>
      <c r="M466" s="6"/>
    </row>
    <row r="467" spans="1:13" ht="18">
      <c r="A467" s="3">
        <v>6</v>
      </c>
      <c r="B467" s="102"/>
      <c r="C467" s="102"/>
      <c r="D467" s="102"/>
      <c r="E467" s="102"/>
      <c r="F467" s="102"/>
      <c r="G467" s="102"/>
      <c r="H467" s="102"/>
      <c r="I467" s="102"/>
      <c r="J467" s="99"/>
      <c r="K467" s="99"/>
      <c r="L467" s="46"/>
      <c r="M467" s="6"/>
    </row>
    <row r="468" spans="1:13" ht="18">
      <c r="A468" s="3">
        <v>7</v>
      </c>
      <c r="B468" s="102"/>
      <c r="C468" s="102"/>
      <c r="D468" s="102"/>
      <c r="E468" s="102"/>
      <c r="F468" s="102"/>
      <c r="G468" s="102"/>
      <c r="H468" s="102"/>
      <c r="I468" s="102"/>
      <c r="J468" s="99"/>
      <c r="K468" s="99"/>
      <c r="L468" s="46"/>
      <c r="M468" s="6"/>
    </row>
    <row r="469" spans="1:13" ht="18">
      <c r="A469" s="3">
        <v>8</v>
      </c>
      <c r="B469" s="102"/>
      <c r="C469" s="102"/>
      <c r="D469" s="102"/>
      <c r="E469" s="102"/>
      <c r="F469" s="102"/>
      <c r="G469" s="102"/>
      <c r="H469" s="102"/>
      <c r="I469" s="102"/>
      <c r="J469" s="99"/>
      <c r="K469" s="99"/>
      <c r="L469" s="46"/>
      <c r="M469" s="6"/>
    </row>
    <row r="470" spans="1:13" ht="18">
      <c r="A470" s="3">
        <v>9</v>
      </c>
      <c r="B470" s="102"/>
      <c r="C470" s="102"/>
      <c r="D470" s="102"/>
      <c r="E470" s="102"/>
      <c r="F470" s="102"/>
      <c r="G470" s="102"/>
      <c r="H470" s="102"/>
      <c r="I470" s="102"/>
      <c r="J470" s="99"/>
      <c r="K470" s="99"/>
      <c r="L470" s="46"/>
      <c r="M470" s="6"/>
    </row>
    <row r="471" spans="1:13" ht="18">
      <c r="A471" s="3">
        <v>10</v>
      </c>
      <c r="B471" s="102"/>
      <c r="C471" s="102"/>
      <c r="D471" s="102"/>
      <c r="E471" s="102"/>
      <c r="F471" s="102"/>
      <c r="G471" s="102"/>
      <c r="H471" s="102"/>
      <c r="I471" s="102"/>
      <c r="J471" s="99"/>
      <c r="K471" s="99"/>
      <c r="L471" s="46"/>
      <c r="M471" s="6"/>
    </row>
    <row r="472" spans="1:13" ht="18">
      <c r="A472" s="3">
        <v>11</v>
      </c>
      <c r="B472" s="102"/>
      <c r="C472" s="102"/>
      <c r="D472" s="102"/>
      <c r="E472" s="102"/>
      <c r="F472" s="102"/>
      <c r="G472" s="102"/>
      <c r="H472" s="102"/>
      <c r="I472" s="102"/>
      <c r="J472" s="99"/>
      <c r="K472" s="99"/>
      <c r="L472" s="46"/>
      <c r="M472" s="6"/>
    </row>
    <row r="473" spans="1:13" ht="18">
      <c r="A473" s="3">
        <v>12</v>
      </c>
      <c r="B473" s="102"/>
      <c r="C473" s="102"/>
      <c r="D473" s="102"/>
      <c r="E473" s="102"/>
      <c r="F473" s="102"/>
      <c r="G473" s="102"/>
      <c r="H473" s="102"/>
      <c r="I473" s="102"/>
      <c r="J473" s="99"/>
      <c r="K473" s="99"/>
      <c r="L473" s="46"/>
      <c r="M473" s="6"/>
    </row>
    <row r="474" spans="1:13" ht="18">
      <c r="A474" s="3">
        <v>13</v>
      </c>
      <c r="B474" s="102"/>
      <c r="C474" s="102"/>
      <c r="D474" s="102"/>
      <c r="E474" s="102"/>
      <c r="F474" s="102"/>
      <c r="G474" s="102"/>
      <c r="H474" s="102"/>
      <c r="I474" s="102"/>
      <c r="J474" s="99"/>
      <c r="K474" s="99"/>
      <c r="L474" s="46"/>
      <c r="M474" s="6"/>
    </row>
    <row r="475" spans="1:13" ht="18">
      <c r="A475" s="3">
        <v>14</v>
      </c>
      <c r="B475" s="102"/>
      <c r="C475" s="102"/>
      <c r="D475" s="102"/>
      <c r="E475" s="102"/>
      <c r="F475" s="102"/>
      <c r="G475" s="102"/>
      <c r="H475" s="102"/>
      <c r="I475" s="102"/>
      <c r="J475" s="99"/>
      <c r="K475" s="99"/>
      <c r="L475" s="46"/>
      <c r="M475" s="6"/>
    </row>
    <row r="476" spans="1:13" ht="18">
      <c r="A476" s="3">
        <v>15</v>
      </c>
      <c r="B476" s="102"/>
      <c r="C476" s="102"/>
      <c r="D476" s="102"/>
      <c r="E476" s="102"/>
      <c r="F476" s="102"/>
      <c r="G476" s="102"/>
      <c r="H476" s="102"/>
      <c r="I476" s="102"/>
      <c r="J476" s="99"/>
      <c r="K476" s="99"/>
      <c r="L476" s="46"/>
      <c r="M476" s="6"/>
    </row>
    <row r="477" spans="1:13" ht="18">
      <c r="A477" s="3">
        <v>16</v>
      </c>
      <c r="B477" s="102"/>
      <c r="C477" s="102"/>
      <c r="D477" s="102"/>
      <c r="E477" s="102"/>
      <c r="F477" s="102"/>
      <c r="G477" s="102"/>
      <c r="H477" s="102"/>
      <c r="I477" s="102"/>
      <c r="J477" s="99"/>
      <c r="K477" s="99"/>
      <c r="L477" s="46"/>
      <c r="M477" s="6"/>
    </row>
    <row r="478" spans="1:13" ht="18">
      <c r="A478" s="3">
        <v>17</v>
      </c>
      <c r="B478" s="102"/>
      <c r="C478" s="102"/>
      <c r="D478" s="102"/>
      <c r="E478" s="102"/>
      <c r="F478" s="102"/>
      <c r="G478" s="102"/>
      <c r="H478" s="102"/>
      <c r="I478" s="102"/>
      <c r="J478" s="99"/>
      <c r="K478" s="99"/>
      <c r="L478" s="46"/>
      <c r="M478" s="6"/>
    </row>
    <row r="479" spans="1:13" ht="18">
      <c r="A479" s="3">
        <v>18</v>
      </c>
      <c r="B479" s="102"/>
      <c r="C479" s="102"/>
      <c r="D479" s="102"/>
      <c r="E479" s="102"/>
      <c r="F479" s="102"/>
      <c r="G479" s="102"/>
      <c r="H479" s="102"/>
      <c r="I479" s="102"/>
      <c r="J479" s="99"/>
      <c r="K479" s="99"/>
      <c r="L479" s="46"/>
      <c r="M479" s="6"/>
    </row>
    <row r="480" spans="1:13" ht="18">
      <c r="A480" s="3">
        <v>19</v>
      </c>
      <c r="B480" s="102"/>
      <c r="C480" s="102"/>
      <c r="D480" s="102"/>
      <c r="E480" s="102"/>
      <c r="F480" s="102"/>
      <c r="G480" s="102"/>
      <c r="H480" s="102"/>
      <c r="I480" s="102"/>
      <c r="J480" s="99"/>
      <c r="K480" s="99"/>
      <c r="L480" s="46"/>
      <c r="M480" s="6"/>
    </row>
    <row r="481" spans="1:13" ht="18">
      <c r="A481" s="3">
        <v>20</v>
      </c>
      <c r="B481" s="102"/>
      <c r="C481" s="102"/>
      <c r="D481" s="102"/>
      <c r="E481" s="102"/>
      <c r="F481" s="102"/>
      <c r="G481" s="102"/>
      <c r="H481" s="102"/>
      <c r="I481" s="102"/>
      <c r="J481" s="99"/>
      <c r="K481" s="99"/>
      <c r="L481" s="46"/>
      <c r="M481" s="6"/>
    </row>
    <row r="482" spans="1:13" ht="18">
      <c r="A482" s="3">
        <v>21</v>
      </c>
      <c r="B482" s="102"/>
      <c r="C482" s="102"/>
      <c r="D482" s="102"/>
      <c r="E482" s="102"/>
      <c r="F482" s="102"/>
      <c r="G482" s="102"/>
      <c r="H482" s="102"/>
      <c r="I482" s="102"/>
      <c r="J482" s="99"/>
      <c r="K482" s="99"/>
      <c r="L482" s="46"/>
      <c r="M482" s="6"/>
    </row>
    <row r="483" spans="1:13" ht="18">
      <c r="A483" s="3">
        <v>22</v>
      </c>
      <c r="B483" s="102"/>
      <c r="C483" s="102"/>
      <c r="D483" s="102"/>
      <c r="E483" s="102"/>
      <c r="F483" s="102"/>
      <c r="G483" s="102"/>
      <c r="H483" s="102"/>
      <c r="I483" s="102"/>
      <c r="J483" s="99"/>
      <c r="K483" s="99"/>
      <c r="L483" s="46"/>
      <c r="M483" s="6"/>
    </row>
    <row r="484" spans="1:13" ht="18">
      <c r="A484" s="3">
        <v>23</v>
      </c>
      <c r="B484" s="102"/>
      <c r="C484" s="102"/>
      <c r="D484" s="102"/>
      <c r="E484" s="102"/>
      <c r="F484" s="102"/>
      <c r="G484" s="102"/>
      <c r="H484" s="102"/>
      <c r="I484" s="102"/>
      <c r="J484" s="99"/>
      <c r="K484" s="99"/>
      <c r="L484" s="46"/>
      <c r="M484" s="6"/>
    </row>
    <row r="485" spans="1:13" ht="18">
      <c r="A485" s="3">
        <v>24</v>
      </c>
      <c r="B485" s="102"/>
      <c r="C485" s="102"/>
      <c r="D485" s="102"/>
      <c r="E485" s="102"/>
      <c r="F485" s="102"/>
      <c r="G485" s="102"/>
      <c r="H485" s="102"/>
      <c r="I485" s="102"/>
      <c r="J485" s="99"/>
      <c r="K485" s="99"/>
      <c r="L485" s="46"/>
      <c r="M485" s="6"/>
    </row>
    <row r="486" spans="1:13" ht="18">
      <c r="A486" s="3">
        <v>25</v>
      </c>
      <c r="B486" s="102"/>
      <c r="C486" s="102"/>
      <c r="D486" s="102"/>
      <c r="E486" s="102"/>
      <c r="F486" s="102"/>
      <c r="G486" s="102"/>
      <c r="H486" s="102"/>
      <c r="I486" s="102"/>
      <c r="J486" s="99"/>
      <c r="K486" s="99"/>
      <c r="L486" s="46"/>
      <c r="M486" s="6"/>
    </row>
    <row r="487" spans="1:13" ht="18">
      <c r="A487" s="3">
        <v>26</v>
      </c>
      <c r="B487" s="102"/>
      <c r="C487" s="102"/>
      <c r="D487" s="102"/>
      <c r="E487" s="102"/>
      <c r="F487" s="102"/>
      <c r="G487" s="102"/>
      <c r="H487" s="102"/>
      <c r="I487" s="102"/>
      <c r="J487" s="99"/>
      <c r="K487" s="99"/>
      <c r="L487" s="46"/>
      <c r="M487" s="6"/>
    </row>
    <row r="488" spans="1:13" ht="18">
      <c r="A488" s="3">
        <v>27</v>
      </c>
      <c r="B488" s="102"/>
      <c r="C488" s="102"/>
      <c r="D488" s="102"/>
      <c r="E488" s="102"/>
      <c r="F488" s="102"/>
      <c r="G488" s="102"/>
      <c r="H488" s="102"/>
      <c r="I488" s="102"/>
      <c r="J488" s="99"/>
      <c r="K488" s="99"/>
      <c r="L488" s="46"/>
      <c r="M488" s="6"/>
    </row>
    <row r="489" spans="1:13" ht="18">
      <c r="A489" s="3">
        <v>28</v>
      </c>
      <c r="B489" s="102"/>
      <c r="C489" s="102"/>
      <c r="D489" s="102"/>
      <c r="E489" s="102"/>
      <c r="F489" s="102"/>
      <c r="G489" s="102"/>
      <c r="H489" s="102"/>
      <c r="I489" s="102"/>
      <c r="J489" s="99"/>
      <c r="K489" s="99"/>
      <c r="L489" s="46"/>
      <c r="M489" s="6"/>
    </row>
    <row r="490" spans="1:13">
      <c r="B490" s="102"/>
      <c r="C490" s="102"/>
      <c r="D490" s="102"/>
      <c r="E490" s="102"/>
      <c r="F490" s="102"/>
      <c r="G490" s="102"/>
      <c r="H490" s="102"/>
      <c r="I490" s="102"/>
      <c r="J490" s="99"/>
      <c r="K490" s="99"/>
      <c r="L490" s="46"/>
      <c r="M490" s="6"/>
    </row>
    <row r="491" spans="1:13">
      <c r="B491" s="97"/>
      <c r="C491" s="98"/>
      <c r="D491" s="97"/>
      <c r="E491" s="98"/>
      <c r="F491" s="97"/>
      <c r="G491" s="98"/>
      <c r="H491" s="97"/>
      <c r="I491" s="98"/>
      <c r="J491" s="99"/>
      <c r="K491" s="99"/>
      <c r="L491" s="46"/>
      <c r="M491" s="6"/>
    </row>
    <row r="492" spans="1:13">
      <c r="B492" s="93"/>
      <c r="C492" s="94"/>
      <c r="D492" s="93"/>
      <c r="E492" s="94"/>
      <c r="F492" s="93"/>
      <c r="G492" s="94"/>
      <c r="H492" s="93"/>
      <c r="I492" s="94"/>
      <c r="J492" s="95"/>
      <c r="K492" s="96"/>
      <c r="L492" s="46"/>
      <c r="M492" s="6"/>
    </row>
    <row r="493" spans="1:13">
      <c r="M493" s="6"/>
    </row>
    <row r="494" spans="1:13">
      <c r="B494" s="7" t="str">
        <f>kopsavilkums!$J$2</f>
        <v>Dizšvētku Zolītes finālturnīrs Valkā 2026 (RONDO)</v>
      </c>
    </row>
    <row r="496" spans="1:13">
      <c r="G496" s="41" t="s">
        <v>62</v>
      </c>
      <c r="H496" s="43">
        <f>IF(kopsavilkums!$E$2="","",kopsavilkums!$E$2)</f>
        <v>8</v>
      </c>
    </row>
    <row r="498" spans="1:18">
      <c r="B498" s="109" t="str">
        <f>IF(N498="","",INDEX(kopsavilkums!$C$6:$C$125,N498))</f>
        <v>Guntis Kuzmins</v>
      </c>
      <c r="C498" s="101"/>
      <c r="D498" s="109" t="str">
        <f>IF(O498="","",INDEX(kopsavilkums!$C$6:$C$125,O498))</f>
        <v>Jānis Podračiks</v>
      </c>
      <c r="E498" s="101"/>
      <c r="F498" s="109" t="str">
        <f>IF(P498="","",INDEX(kopsavilkums!$C$6:$C$125,P498))</f>
        <v>Krišjānis Penka</v>
      </c>
      <c r="G498" s="101"/>
      <c r="H498" s="109" t="str">
        <f>IF(Q498="","",INDEX(kopsavilkums!$C$6:$C$125,Q498))</f>
        <v>Aivo Puzulis</v>
      </c>
      <c r="I498" s="101"/>
      <c r="J498" s="109" t="str">
        <f>IF(R498="","",INDEX(kopsavilkums!$C$6:$C$125,R498))</f>
        <v/>
      </c>
      <c r="K498" s="101"/>
      <c r="N498">
        <f>IF(1&gt;IF(13&lt;=(INT(kopsavilkums!$V$2/4)-MOD(kopsavilkums!$V$2,4)),4,IF(13&lt;=INT(kopsavilkums!$V$2/4),5,0)),"",IFERROR(MATCH((IF(13&lt;=(INT(kopsavilkums!$V$2/4)-MOD(kopsavilkums!$V$2,4)),(13-1)*4,(INT(kopsavilkums!$V$2/4)-MOD(kopsavilkums!$V$2,4))*4+(13-(INT(kopsavilkums!$V$2/4)-MOD(kopsavilkums!$V$2,4))-1)*5)+1),kopsavilkums!$X$6:$X$125,0),""))</f>
        <v>49</v>
      </c>
      <c r="O498">
        <f>IF(2&gt;IF(13&lt;=(INT(kopsavilkums!$V$2/4)-MOD(kopsavilkums!$V$2,4)),4,IF(13&lt;=INT(kopsavilkums!$V$2/4),5,0)),"",IFERROR(MATCH((IF(13&lt;=(INT(kopsavilkums!$V$2/4)-MOD(kopsavilkums!$V$2,4)),(13-1)*4,(INT(kopsavilkums!$V$2/4)-MOD(kopsavilkums!$V$2,4))*4+(13-(INT(kopsavilkums!$V$2/4)-MOD(kopsavilkums!$V$2,4))-1)*5)+2),kopsavilkums!$X$6:$X$125,0),""))</f>
        <v>50</v>
      </c>
      <c r="P498">
        <f>IF(3&gt;IF(13&lt;=(INT(kopsavilkums!$V$2/4)-MOD(kopsavilkums!$V$2,4)),4,IF(13&lt;=INT(kopsavilkums!$V$2/4),5,0)),"",IFERROR(MATCH((IF(13&lt;=(INT(kopsavilkums!$V$2/4)-MOD(kopsavilkums!$V$2,4)),(13-1)*4,(INT(kopsavilkums!$V$2/4)-MOD(kopsavilkums!$V$2,4))*4+(13-(INT(kopsavilkums!$V$2/4)-MOD(kopsavilkums!$V$2,4))-1)*5)+3),kopsavilkums!$X$6:$X$125,0),""))</f>
        <v>51</v>
      </c>
      <c r="Q498">
        <f>IF(4&gt;IF(13&lt;=(INT(kopsavilkums!$V$2/4)-MOD(kopsavilkums!$V$2,4)),4,IF(13&lt;=INT(kopsavilkums!$V$2/4),5,0)),"",IFERROR(MATCH((IF(13&lt;=(INT(kopsavilkums!$V$2/4)-MOD(kopsavilkums!$V$2,4)),(13-1)*4,(INT(kopsavilkums!$V$2/4)-MOD(kopsavilkums!$V$2,4))*4+(13-(INT(kopsavilkums!$V$2/4)-MOD(kopsavilkums!$V$2,4))-1)*5)+4),kopsavilkums!$X$6:$X$125,0),""))</f>
        <v>52</v>
      </c>
      <c r="R498" t="str">
        <f>IF(5&gt;IF(13&lt;=(INT(kopsavilkums!$V$2/4)-MOD(kopsavilkums!$V$2,4)),4,IF(13&lt;=INT(kopsavilkums!$V$2/4),5,0)),"",IFERROR(MATCH((IF(13&lt;=(INT(kopsavilkums!$V$2/4)-MOD(kopsavilkums!$V$2,4)),(13-1)*4,(INT(kopsavilkums!$V$2/4)-MOD(kopsavilkums!$V$2,4))*4+(13-(INT(kopsavilkums!$V$2/4)-MOD(kopsavilkums!$V$2,4))-1)*5)+5),kopsavilkums!$X$6:$X$125,0),""))</f>
        <v/>
      </c>
    </row>
    <row r="499" spans="1:18" ht="15.75">
      <c r="A499" s="4" t="s">
        <v>63</v>
      </c>
      <c r="B499" s="105">
        <f>IF(B498="","",13)</f>
        <v>13</v>
      </c>
      <c r="C499" s="105"/>
      <c r="D499" s="105">
        <f>IF(D498="","",13)</f>
        <v>13</v>
      </c>
      <c r="E499" s="105"/>
      <c r="F499" s="105">
        <f>IF(F498="","",13)</f>
        <v>13</v>
      </c>
      <c r="G499" s="105"/>
      <c r="H499" s="105">
        <f>IF(H498="","",13)</f>
        <v>13</v>
      </c>
      <c r="I499" s="105"/>
      <c r="J499" s="107" t="str">
        <f>IF(J498="","",13)</f>
        <v/>
      </c>
      <c r="K499" s="108"/>
    </row>
    <row r="500" spans="1:18" ht="15.75">
      <c r="A500" s="5" t="s">
        <v>64</v>
      </c>
      <c r="B500" s="8">
        <f>IF(N498="","",INDEX(kopsavilkums!$T$6:$T$125,N498))</f>
        <v>16</v>
      </c>
      <c r="C500" s="8">
        <f>IF(N498="","",INDEX(kopsavilkums!$U$6:$U$125,N498))</f>
        <v>-49</v>
      </c>
      <c r="D500" s="8">
        <f>IF(O498="","",INDEX(kopsavilkums!$T$6:$T$125,O498))</f>
        <v>15</v>
      </c>
      <c r="E500" s="8">
        <f>IF(O498="","",INDEX(kopsavilkums!$U$6:$U$125,O498))</f>
        <v>-38</v>
      </c>
      <c r="F500" s="8">
        <f>IF(P498="","",INDEX(kopsavilkums!$T$6:$T$125,P498))</f>
        <v>14</v>
      </c>
      <c r="G500" s="8">
        <f>IF(P498="","",INDEX(kopsavilkums!$U$6:$U$125,P498))</f>
        <v>-60</v>
      </c>
      <c r="H500" s="8">
        <f>IF(Q498="","",INDEX(kopsavilkums!$T$6:$T$125,Q498))</f>
        <v>14</v>
      </c>
      <c r="I500" s="8">
        <f>IF(Q498="","",INDEX(kopsavilkums!$U$6:$U$125,Q498))</f>
        <v>-81</v>
      </c>
      <c r="J500" s="8" t="str">
        <f>IF(R498="","",INDEX(kopsavilkums!$T$6:$T$125,R498))</f>
        <v/>
      </c>
      <c r="K500" s="8" t="str">
        <f>IF(R498="","",INDEX(kopsavilkums!$U$6:$U$125,R498))</f>
        <v/>
      </c>
    </row>
    <row r="501" spans="1:18">
      <c r="L501" s="17" t="s">
        <v>66</v>
      </c>
      <c r="M501" s="18"/>
    </row>
    <row r="502" spans="1:18">
      <c r="M502" s="2"/>
    </row>
    <row r="503" spans="1:18" ht="18">
      <c r="A503" s="3">
        <v>1</v>
      </c>
      <c r="B503" s="102"/>
      <c r="C503" s="102"/>
      <c r="D503" s="102"/>
      <c r="E503" s="102"/>
      <c r="F503" s="102"/>
      <c r="G503" s="102"/>
      <c r="H503" s="102"/>
      <c r="I503" s="102"/>
      <c r="J503" s="99"/>
      <c r="K503" s="99"/>
      <c r="L503" s="46"/>
      <c r="M503" s="6"/>
    </row>
    <row r="504" spans="1:18" ht="18">
      <c r="A504" s="3">
        <v>2</v>
      </c>
      <c r="B504" s="102"/>
      <c r="C504" s="102"/>
      <c r="D504" s="102"/>
      <c r="E504" s="102"/>
      <c r="F504" s="102"/>
      <c r="G504" s="102"/>
      <c r="H504" s="102"/>
      <c r="I504" s="102"/>
      <c r="J504" s="99"/>
      <c r="K504" s="99"/>
      <c r="L504" s="46"/>
      <c r="M504" s="6"/>
    </row>
    <row r="505" spans="1:18" ht="18">
      <c r="A505" s="3">
        <v>3</v>
      </c>
      <c r="B505" s="102"/>
      <c r="C505" s="102"/>
      <c r="D505" s="102"/>
      <c r="E505" s="102"/>
      <c r="F505" s="102"/>
      <c r="G505" s="102"/>
      <c r="H505" s="102"/>
      <c r="I505" s="102"/>
      <c r="J505" s="99"/>
      <c r="K505" s="99"/>
      <c r="L505" s="46"/>
      <c r="M505" s="6"/>
    </row>
    <row r="506" spans="1:18" ht="18">
      <c r="A506" s="3">
        <v>4</v>
      </c>
      <c r="B506" s="102"/>
      <c r="C506" s="102"/>
      <c r="D506" s="102"/>
      <c r="E506" s="102"/>
      <c r="F506" s="102"/>
      <c r="G506" s="102"/>
      <c r="H506" s="102"/>
      <c r="I506" s="102"/>
      <c r="J506" s="99"/>
      <c r="K506" s="99"/>
      <c r="L506" s="46"/>
      <c r="M506" s="6"/>
    </row>
    <row r="507" spans="1:18" ht="18">
      <c r="A507" s="3">
        <v>5</v>
      </c>
      <c r="B507" s="102"/>
      <c r="C507" s="102"/>
      <c r="D507" s="102"/>
      <c r="E507" s="102"/>
      <c r="F507" s="102"/>
      <c r="G507" s="102"/>
      <c r="H507" s="102"/>
      <c r="I507" s="102"/>
      <c r="J507" s="99"/>
      <c r="K507" s="99"/>
      <c r="L507" s="46"/>
      <c r="M507" s="6"/>
    </row>
    <row r="508" spans="1:18" ht="18">
      <c r="A508" s="3">
        <v>6</v>
      </c>
      <c r="B508" s="102"/>
      <c r="C508" s="102"/>
      <c r="D508" s="102"/>
      <c r="E508" s="102"/>
      <c r="F508" s="102"/>
      <c r="G508" s="102"/>
      <c r="H508" s="102"/>
      <c r="I508" s="102"/>
      <c r="J508" s="99"/>
      <c r="K508" s="99"/>
      <c r="L508" s="46"/>
      <c r="M508" s="6"/>
    </row>
    <row r="509" spans="1:18" ht="18">
      <c r="A509" s="3">
        <v>7</v>
      </c>
      <c r="B509" s="102"/>
      <c r="C509" s="102"/>
      <c r="D509" s="102"/>
      <c r="E509" s="102"/>
      <c r="F509" s="102"/>
      <c r="G509" s="102"/>
      <c r="H509" s="102"/>
      <c r="I509" s="102"/>
      <c r="J509" s="99"/>
      <c r="K509" s="99"/>
      <c r="L509" s="46"/>
      <c r="M509" s="6"/>
    </row>
    <row r="510" spans="1:18" ht="18">
      <c r="A510" s="3">
        <v>8</v>
      </c>
      <c r="B510" s="102"/>
      <c r="C510" s="102"/>
      <c r="D510" s="102"/>
      <c r="E510" s="102"/>
      <c r="F510" s="102"/>
      <c r="G510" s="102"/>
      <c r="H510" s="102"/>
      <c r="I510" s="102"/>
      <c r="J510" s="99"/>
      <c r="K510" s="99"/>
      <c r="L510" s="46"/>
      <c r="M510" s="6"/>
    </row>
    <row r="511" spans="1:18" ht="18">
      <c r="A511" s="3">
        <v>9</v>
      </c>
      <c r="B511" s="102"/>
      <c r="C511" s="102"/>
      <c r="D511" s="102"/>
      <c r="E511" s="102"/>
      <c r="F511" s="102"/>
      <c r="G511" s="102"/>
      <c r="H511" s="102"/>
      <c r="I511" s="102"/>
      <c r="J511" s="99"/>
      <c r="K511" s="99"/>
      <c r="L511" s="46"/>
      <c r="M511" s="6"/>
    </row>
    <row r="512" spans="1:18" ht="18">
      <c r="A512" s="3">
        <v>10</v>
      </c>
      <c r="B512" s="102"/>
      <c r="C512" s="102"/>
      <c r="D512" s="102"/>
      <c r="E512" s="102"/>
      <c r="F512" s="102"/>
      <c r="G512" s="102"/>
      <c r="H512" s="102"/>
      <c r="I512" s="102"/>
      <c r="J512" s="99"/>
      <c r="K512" s="99"/>
      <c r="L512" s="46"/>
      <c r="M512" s="6"/>
    </row>
    <row r="513" spans="1:13" ht="18">
      <c r="A513" s="3">
        <v>11</v>
      </c>
      <c r="B513" s="102"/>
      <c r="C513" s="102"/>
      <c r="D513" s="102"/>
      <c r="E513" s="102"/>
      <c r="F513" s="102"/>
      <c r="G513" s="102"/>
      <c r="H513" s="102"/>
      <c r="I513" s="102"/>
      <c r="J513" s="99"/>
      <c r="K513" s="99"/>
      <c r="L513" s="46"/>
      <c r="M513" s="6"/>
    </row>
    <row r="514" spans="1:13" ht="18">
      <c r="A514" s="3">
        <v>12</v>
      </c>
      <c r="B514" s="102"/>
      <c r="C514" s="102"/>
      <c r="D514" s="102"/>
      <c r="E514" s="102"/>
      <c r="F514" s="102"/>
      <c r="G514" s="102"/>
      <c r="H514" s="102"/>
      <c r="I514" s="102"/>
      <c r="J514" s="99"/>
      <c r="K514" s="99"/>
      <c r="L514" s="46"/>
      <c r="M514" s="6"/>
    </row>
    <row r="515" spans="1:13" ht="18">
      <c r="A515" s="3">
        <v>13</v>
      </c>
      <c r="B515" s="102"/>
      <c r="C515" s="102"/>
      <c r="D515" s="102"/>
      <c r="E515" s="102"/>
      <c r="F515" s="102"/>
      <c r="G515" s="102"/>
      <c r="H515" s="102"/>
      <c r="I515" s="102"/>
      <c r="J515" s="99"/>
      <c r="K515" s="99"/>
      <c r="L515" s="46"/>
      <c r="M515" s="6"/>
    </row>
    <row r="516" spans="1:13" ht="18">
      <c r="A516" s="3">
        <v>14</v>
      </c>
      <c r="B516" s="102"/>
      <c r="C516" s="102"/>
      <c r="D516" s="102"/>
      <c r="E516" s="102"/>
      <c r="F516" s="102"/>
      <c r="G516" s="102"/>
      <c r="H516" s="102"/>
      <c r="I516" s="102"/>
      <c r="J516" s="99"/>
      <c r="K516" s="99"/>
      <c r="L516" s="46"/>
      <c r="M516" s="6"/>
    </row>
    <row r="517" spans="1:13" ht="18">
      <c r="A517" s="3">
        <v>15</v>
      </c>
      <c r="B517" s="102"/>
      <c r="C517" s="102"/>
      <c r="D517" s="102"/>
      <c r="E517" s="102"/>
      <c r="F517" s="102"/>
      <c r="G517" s="102"/>
      <c r="H517" s="102"/>
      <c r="I517" s="102"/>
      <c r="J517" s="99"/>
      <c r="K517" s="99"/>
      <c r="L517" s="46"/>
      <c r="M517" s="6"/>
    </row>
    <row r="518" spans="1:13" ht="18">
      <c r="A518" s="3">
        <v>16</v>
      </c>
      <c r="B518" s="102"/>
      <c r="C518" s="102"/>
      <c r="D518" s="102"/>
      <c r="E518" s="102"/>
      <c r="F518" s="102"/>
      <c r="G518" s="102"/>
      <c r="H518" s="102"/>
      <c r="I518" s="102"/>
      <c r="J518" s="99"/>
      <c r="K518" s="99"/>
      <c r="L518" s="46"/>
      <c r="M518" s="6"/>
    </row>
    <row r="519" spans="1:13" ht="18">
      <c r="A519" s="3">
        <v>17</v>
      </c>
      <c r="B519" s="102"/>
      <c r="C519" s="102"/>
      <c r="D519" s="102"/>
      <c r="E519" s="102"/>
      <c r="F519" s="102"/>
      <c r="G519" s="102"/>
      <c r="H519" s="102"/>
      <c r="I519" s="102"/>
      <c r="J519" s="99"/>
      <c r="K519" s="99"/>
      <c r="L519" s="46"/>
      <c r="M519" s="6"/>
    </row>
    <row r="520" spans="1:13" ht="18">
      <c r="A520" s="3">
        <v>18</v>
      </c>
      <c r="B520" s="102"/>
      <c r="C520" s="102"/>
      <c r="D520" s="102"/>
      <c r="E520" s="102"/>
      <c r="F520" s="102"/>
      <c r="G520" s="102"/>
      <c r="H520" s="102"/>
      <c r="I520" s="102"/>
      <c r="J520" s="99"/>
      <c r="K520" s="99"/>
      <c r="L520" s="46"/>
      <c r="M520" s="6"/>
    </row>
    <row r="521" spans="1:13" ht="18">
      <c r="A521" s="3">
        <v>19</v>
      </c>
      <c r="B521" s="102"/>
      <c r="C521" s="102"/>
      <c r="D521" s="102"/>
      <c r="E521" s="102"/>
      <c r="F521" s="102"/>
      <c r="G521" s="102"/>
      <c r="H521" s="102"/>
      <c r="I521" s="102"/>
      <c r="J521" s="99"/>
      <c r="K521" s="99"/>
      <c r="L521" s="46"/>
      <c r="M521" s="6"/>
    </row>
    <row r="522" spans="1:13" ht="18">
      <c r="A522" s="3">
        <v>20</v>
      </c>
      <c r="B522" s="102"/>
      <c r="C522" s="102"/>
      <c r="D522" s="102"/>
      <c r="E522" s="102"/>
      <c r="F522" s="102"/>
      <c r="G522" s="102"/>
      <c r="H522" s="102"/>
      <c r="I522" s="102"/>
      <c r="J522" s="99"/>
      <c r="K522" s="99"/>
      <c r="L522" s="46"/>
      <c r="M522" s="6"/>
    </row>
    <row r="523" spans="1:13" ht="18">
      <c r="A523" s="3">
        <v>21</v>
      </c>
      <c r="B523" s="102"/>
      <c r="C523" s="102"/>
      <c r="D523" s="102"/>
      <c r="E523" s="102"/>
      <c r="F523" s="102"/>
      <c r="G523" s="102"/>
      <c r="H523" s="102"/>
      <c r="I523" s="102"/>
      <c r="J523" s="99"/>
      <c r="K523" s="99"/>
      <c r="L523" s="46"/>
      <c r="M523" s="6"/>
    </row>
    <row r="524" spans="1:13" ht="18">
      <c r="A524" s="3">
        <v>22</v>
      </c>
      <c r="B524" s="102"/>
      <c r="C524" s="102"/>
      <c r="D524" s="102"/>
      <c r="E524" s="102"/>
      <c r="F524" s="102"/>
      <c r="G524" s="102"/>
      <c r="H524" s="102"/>
      <c r="I524" s="102"/>
      <c r="J524" s="99"/>
      <c r="K524" s="99"/>
      <c r="L524" s="46"/>
      <c r="M524" s="6"/>
    </row>
    <row r="525" spans="1:13" ht="18">
      <c r="A525" s="3">
        <v>23</v>
      </c>
      <c r="B525" s="102"/>
      <c r="C525" s="102"/>
      <c r="D525" s="102"/>
      <c r="E525" s="102"/>
      <c r="F525" s="102"/>
      <c r="G525" s="102"/>
      <c r="H525" s="102"/>
      <c r="I525" s="102"/>
      <c r="J525" s="99"/>
      <c r="K525" s="99"/>
      <c r="L525" s="46"/>
      <c r="M525" s="6"/>
    </row>
    <row r="526" spans="1:13" ht="18">
      <c r="A526" s="3">
        <v>24</v>
      </c>
      <c r="B526" s="102"/>
      <c r="C526" s="102"/>
      <c r="D526" s="102"/>
      <c r="E526" s="102"/>
      <c r="F526" s="102"/>
      <c r="G526" s="102"/>
      <c r="H526" s="102"/>
      <c r="I526" s="102"/>
      <c r="J526" s="99"/>
      <c r="K526" s="99"/>
      <c r="L526" s="46"/>
      <c r="M526" s="6"/>
    </row>
    <row r="527" spans="1:13" ht="18">
      <c r="A527" s="3">
        <v>25</v>
      </c>
      <c r="B527" s="102"/>
      <c r="C527" s="102"/>
      <c r="D527" s="102"/>
      <c r="E527" s="102"/>
      <c r="F527" s="102"/>
      <c r="G527" s="102"/>
      <c r="H527" s="102"/>
      <c r="I527" s="102"/>
      <c r="J527" s="99"/>
      <c r="K527" s="99"/>
      <c r="L527" s="46"/>
      <c r="M527" s="6"/>
    </row>
    <row r="528" spans="1:13" ht="18">
      <c r="A528" s="3">
        <v>26</v>
      </c>
      <c r="B528" s="102"/>
      <c r="C528" s="102"/>
      <c r="D528" s="102"/>
      <c r="E528" s="102"/>
      <c r="F528" s="102"/>
      <c r="G528" s="102"/>
      <c r="H528" s="102"/>
      <c r="I528" s="102"/>
      <c r="J528" s="99"/>
      <c r="K528" s="99"/>
      <c r="L528" s="46"/>
      <c r="M528" s="6"/>
    </row>
    <row r="529" spans="1:18" ht="18">
      <c r="A529" s="3">
        <v>27</v>
      </c>
      <c r="B529" s="102"/>
      <c r="C529" s="102"/>
      <c r="D529" s="102"/>
      <c r="E529" s="102"/>
      <c r="F529" s="102"/>
      <c r="G529" s="102"/>
      <c r="H529" s="102"/>
      <c r="I529" s="102"/>
      <c r="J529" s="99"/>
      <c r="K529" s="99"/>
      <c r="L529" s="46"/>
      <c r="M529" s="6"/>
    </row>
    <row r="530" spans="1:18" ht="18">
      <c r="A530" s="3">
        <v>28</v>
      </c>
      <c r="B530" s="102"/>
      <c r="C530" s="102"/>
      <c r="D530" s="102"/>
      <c r="E530" s="102"/>
      <c r="F530" s="102"/>
      <c r="G530" s="102"/>
      <c r="H530" s="102"/>
      <c r="I530" s="102"/>
      <c r="J530" s="99"/>
      <c r="K530" s="99"/>
      <c r="L530" s="46"/>
      <c r="M530" s="6"/>
    </row>
    <row r="531" spans="1:18">
      <c r="B531" s="102"/>
      <c r="C531" s="102"/>
      <c r="D531" s="102"/>
      <c r="E531" s="102"/>
      <c r="F531" s="102"/>
      <c r="G531" s="102"/>
      <c r="H531" s="102"/>
      <c r="I531" s="102"/>
      <c r="J531" s="99"/>
      <c r="K531" s="99"/>
      <c r="L531" s="46"/>
      <c r="M531" s="6"/>
    </row>
    <row r="532" spans="1:18">
      <c r="B532" s="97"/>
      <c r="C532" s="98"/>
      <c r="D532" s="97"/>
      <c r="E532" s="98"/>
      <c r="F532" s="97"/>
      <c r="G532" s="98"/>
      <c r="H532" s="97"/>
      <c r="I532" s="98"/>
      <c r="J532" s="99"/>
      <c r="K532" s="99"/>
      <c r="L532" s="46"/>
      <c r="M532" s="6"/>
    </row>
    <row r="533" spans="1:18">
      <c r="B533" s="93"/>
      <c r="C533" s="94"/>
      <c r="D533" s="93"/>
      <c r="E533" s="94"/>
      <c r="F533" s="93"/>
      <c r="G533" s="94"/>
      <c r="H533" s="93"/>
      <c r="I533" s="94"/>
      <c r="J533" s="95"/>
      <c r="K533" s="96"/>
      <c r="L533" s="46"/>
      <c r="M533" s="6"/>
    </row>
    <row r="534" spans="1:18">
      <c r="M534" s="6"/>
    </row>
    <row r="535" spans="1:18">
      <c r="B535" s="7" t="str">
        <f>kopsavilkums!$J$2</f>
        <v>Dizšvētku Zolītes finālturnīrs Valkā 2026 (RONDO)</v>
      </c>
    </row>
    <row r="537" spans="1:18">
      <c r="G537" s="41" t="s">
        <v>62</v>
      </c>
      <c r="H537" s="43">
        <f>IF(kopsavilkums!$E$2="","",kopsavilkums!$E$2)</f>
        <v>8</v>
      </c>
    </row>
    <row r="539" spans="1:18">
      <c r="B539" s="109" t="str">
        <f>IF(N539="","",INDEX(kopsavilkums!$C$6:$C$125,N539))</f>
        <v>Aivars Putāns</v>
      </c>
      <c r="C539" s="101"/>
      <c r="D539" s="109" t="str">
        <f>IF(O539="","",INDEX(kopsavilkums!$C$6:$C$125,O539))</f>
        <v>Kaspars Ķēniņš</v>
      </c>
      <c r="E539" s="101"/>
      <c r="F539" s="109" t="str">
        <f>IF(P539="","",INDEX(kopsavilkums!$C$6:$C$125,P539))</f>
        <v>Leons Vigulis</v>
      </c>
      <c r="G539" s="101"/>
      <c r="H539" s="109" t="str">
        <f>IF(Q539="","",INDEX(kopsavilkums!$C$6:$C$125,Q539))</f>
        <v>Laila Ķibilde</v>
      </c>
      <c r="I539" s="101"/>
      <c r="J539" s="109" t="str">
        <f>IF(R539="","",INDEX(kopsavilkums!$C$6:$C$125,R539))</f>
        <v>Aigars Tipāns</v>
      </c>
      <c r="K539" s="101"/>
      <c r="N539">
        <f>IF(1&gt;IF(14&lt;=(INT(kopsavilkums!$V$2/4)-MOD(kopsavilkums!$V$2,4)),4,IF(14&lt;=INT(kopsavilkums!$V$2/4),5,0)),"",IFERROR(MATCH((IF(14&lt;=(INT(kopsavilkums!$V$2/4)-MOD(kopsavilkums!$V$2,4)),(14-1)*4,(INT(kopsavilkums!$V$2/4)-MOD(kopsavilkums!$V$2,4))*4+(14-(INT(kopsavilkums!$V$2/4)-MOD(kopsavilkums!$V$2,4))-1)*5)+1),kopsavilkums!$X$6:$X$125,0),""))</f>
        <v>53</v>
      </c>
      <c r="O539">
        <f>IF(2&gt;IF(14&lt;=(INT(kopsavilkums!$V$2/4)-MOD(kopsavilkums!$V$2,4)),4,IF(14&lt;=INT(kopsavilkums!$V$2/4),5,0)),"",IFERROR(MATCH((IF(14&lt;=(INT(kopsavilkums!$V$2/4)-MOD(kopsavilkums!$V$2,4)),(14-1)*4,(INT(kopsavilkums!$V$2/4)-MOD(kopsavilkums!$V$2,4))*4+(14-(INT(kopsavilkums!$V$2/4)-MOD(kopsavilkums!$V$2,4))-1)*5)+2),kopsavilkums!$X$6:$X$125,0),""))</f>
        <v>54</v>
      </c>
      <c r="P539">
        <f>IF(3&gt;IF(14&lt;=(INT(kopsavilkums!$V$2/4)-MOD(kopsavilkums!$V$2,4)),4,IF(14&lt;=INT(kopsavilkums!$V$2/4),5,0)),"",IFERROR(MATCH((IF(14&lt;=(INT(kopsavilkums!$V$2/4)-MOD(kopsavilkums!$V$2,4)),(14-1)*4,(INT(kopsavilkums!$V$2/4)-MOD(kopsavilkums!$V$2,4))*4+(14-(INT(kopsavilkums!$V$2/4)-MOD(kopsavilkums!$V$2,4))-1)*5)+3),kopsavilkums!$X$6:$X$125,0),""))</f>
        <v>55</v>
      </c>
      <c r="Q539">
        <f>IF(4&gt;IF(14&lt;=(INT(kopsavilkums!$V$2/4)-MOD(kopsavilkums!$V$2,4)),4,IF(14&lt;=INT(kopsavilkums!$V$2/4),5,0)),"",IFERROR(MATCH((IF(14&lt;=(INT(kopsavilkums!$V$2/4)-MOD(kopsavilkums!$V$2,4)),(14-1)*4,(INT(kopsavilkums!$V$2/4)-MOD(kopsavilkums!$V$2,4))*4+(14-(INT(kopsavilkums!$V$2/4)-MOD(kopsavilkums!$V$2,4))-1)*5)+4),kopsavilkums!$X$6:$X$125,0),""))</f>
        <v>56</v>
      </c>
      <c r="R539">
        <f>IF(5&gt;IF(14&lt;=(INT(kopsavilkums!$V$2/4)-MOD(kopsavilkums!$V$2,4)),4,IF(14&lt;=INT(kopsavilkums!$V$2/4),5,0)),"",IFERROR(MATCH((IF(14&lt;=(INT(kopsavilkums!$V$2/4)-MOD(kopsavilkums!$V$2,4)),(14-1)*4,(INT(kopsavilkums!$V$2/4)-MOD(kopsavilkums!$V$2,4))*4+(14-(INT(kopsavilkums!$V$2/4)-MOD(kopsavilkums!$V$2,4))-1)*5)+5),kopsavilkums!$X$6:$X$125,0),""))</f>
        <v>57</v>
      </c>
    </row>
    <row r="540" spans="1:18" ht="15.75">
      <c r="A540" s="4" t="s">
        <v>63</v>
      </c>
      <c r="B540" s="105">
        <f>IF(B539="","",14)</f>
        <v>14</v>
      </c>
      <c r="C540" s="105"/>
      <c r="D540" s="105">
        <f>IF(D539="","",14)</f>
        <v>14</v>
      </c>
      <c r="E540" s="105"/>
      <c r="F540" s="105">
        <f>IF(F539="","",14)</f>
        <v>14</v>
      </c>
      <c r="G540" s="105"/>
      <c r="H540" s="105">
        <f>IF(H539="","",14)</f>
        <v>14</v>
      </c>
      <c r="I540" s="105"/>
      <c r="J540" s="107">
        <f>IF(J539="","",14)</f>
        <v>14</v>
      </c>
      <c r="K540" s="108"/>
    </row>
    <row r="541" spans="1:18" ht="15.75">
      <c r="A541" s="5" t="s">
        <v>64</v>
      </c>
      <c r="B541" s="8">
        <f>IF(N539="","",INDEX(kopsavilkums!$T$6:$T$125,N539))</f>
        <v>14</v>
      </c>
      <c r="C541" s="8">
        <f>IF(N539="","",INDEX(kopsavilkums!$U$6:$U$125,N539))</f>
        <v>-107</v>
      </c>
      <c r="D541" s="8">
        <f>IF(O539="","",INDEX(kopsavilkums!$T$6:$T$125,O539))</f>
        <v>12</v>
      </c>
      <c r="E541" s="8">
        <f>IF(O539="","",INDEX(kopsavilkums!$U$6:$U$125,O539))</f>
        <v>-27</v>
      </c>
      <c r="F541" s="8">
        <f>IF(P539="","",INDEX(kopsavilkums!$T$6:$T$125,P539))</f>
        <v>12</v>
      </c>
      <c r="G541" s="8">
        <f>IF(P539="","",INDEX(kopsavilkums!$U$6:$U$125,P539))</f>
        <v>-84</v>
      </c>
      <c r="H541" s="8">
        <f>IF(Q539="","",INDEX(kopsavilkums!$T$6:$T$125,Q539))</f>
        <v>12</v>
      </c>
      <c r="I541" s="8">
        <f>IF(Q539="","",INDEX(kopsavilkums!$U$6:$U$125,Q539))</f>
        <v>-151</v>
      </c>
      <c r="J541" s="8">
        <f>IF(R539="","",INDEX(kopsavilkums!$T$6:$T$125,R539))</f>
        <v>10</v>
      </c>
      <c r="K541" s="8">
        <f>IF(R539="","",INDEX(kopsavilkums!$U$6:$U$125,R539))</f>
        <v>-124</v>
      </c>
    </row>
    <row r="542" spans="1:18">
      <c r="L542" s="17" t="s">
        <v>66</v>
      </c>
      <c r="M542" s="18"/>
    </row>
    <row r="543" spans="1:18">
      <c r="M543" s="2"/>
    </row>
    <row r="544" spans="1:18" ht="18">
      <c r="A544" s="3">
        <v>1</v>
      </c>
      <c r="B544" s="102"/>
      <c r="C544" s="102"/>
      <c r="D544" s="102"/>
      <c r="E544" s="102"/>
      <c r="F544" s="102"/>
      <c r="G544" s="102"/>
      <c r="H544" s="102"/>
      <c r="I544" s="102"/>
      <c r="J544" s="99"/>
      <c r="K544" s="99"/>
      <c r="L544" s="46"/>
      <c r="M544" s="6"/>
    </row>
    <row r="545" spans="1:13" ht="18">
      <c r="A545" s="3">
        <v>2</v>
      </c>
      <c r="B545" s="102"/>
      <c r="C545" s="102"/>
      <c r="D545" s="102"/>
      <c r="E545" s="102"/>
      <c r="F545" s="102"/>
      <c r="G545" s="102"/>
      <c r="H545" s="102"/>
      <c r="I545" s="102"/>
      <c r="J545" s="99"/>
      <c r="K545" s="99"/>
      <c r="L545" s="46"/>
      <c r="M545" s="6"/>
    </row>
    <row r="546" spans="1:13" ht="18">
      <c r="A546" s="3">
        <v>3</v>
      </c>
      <c r="B546" s="102"/>
      <c r="C546" s="102"/>
      <c r="D546" s="102"/>
      <c r="E546" s="102"/>
      <c r="F546" s="102"/>
      <c r="G546" s="102"/>
      <c r="H546" s="102"/>
      <c r="I546" s="102"/>
      <c r="J546" s="99"/>
      <c r="K546" s="99"/>
      <c r="L546" s="46"/>
      <c r="M546" s="6"/>
    </row>
    <row r="547" spans="1:13" ht="18">
      <c r="A547" s="3">
        <v>4</v>
      </c>
      <c r="B547" s="102"/>
      <c r="C547" s="102"/>
      <c r="D547" s="102"/>
      <c r="E547" s="102"/>
      <c r="F547" s="102"/>
      <c r="G547" s="102"/>
      <c r="H547" s="102"/>
      <c r="I547" s="102"/>
      <c r="J547" s="99"/>
      <c r="K547" s="99"/>
      <c r="L547" s="46"/>
      <c r="M547" s="6"/>
    </row>
    <row r="548" spans="1:13" ht="18">
      <c r="A548" s="3">
        <v>5</v>
      </c>
      <c r="B548" s="102"/>
      <c r="C548" s="102"/>
      <c r="D548" s="102"/>
      <c r="E548" s="102"/>
      <c r="F548" s="102"/>
      <c r="G548" s="102"/>
      <c r="H548" s="102"/>
      <c r="I548" s="102"/>
      <c r="J548" s="99"/>
      <c r="K548" s="99"/>
      <c r="L548" s="46"/>
      <c r="M548" s="6"/>
    </row>
    <row r="549" spans="1:13" ht="18">
      <c r="A549" s="3">
        <v>6</v>
      </c>
      <c r="B549" s="102"/>
      <c r="C549" s="102"/>
      <c r="D549" s="102"/>
      <c r="E549" s="102"/>
      <c r="F549" s="102"/>
      <c r="G549" s="102"/>
      <c r="H549" s="102"/>
      <c r="I549" s="102"/>
      <c r="J549" s="99"/>
      <c r="K549" s="99"/>
      <c r="L549" s="46"/>
      <c r="M549" s="6"/>
    </row>
    <row r="550" spans="1:13" ht="18">
      <c r="A550" s="3">
        <v>7</v>
      </c>
      <c r="B550" s="102"/>
      <c r="C550" s="102"/>
      <c r="D550" s="102"/>
      <c r="E550" s="102"/>
      <c r="F550" s="102"/>
      <c r="G550" s="102"/>
      <c r="H550" s="102"/>
      <c r="I550" s="102"/>
      <c r="J550" s="99"/>
      <c r="K550" s="99"/>
      <c r="L550" s="46"/>
      <c r="M550" s="6"/>
    </row>
    <row r="551" spans="1:13" ht="18">
      <c r="A551" s="3">
        <v>8</v>
      </c>
      <c r="B551" s="102"/>
      <c r="C551" s="102"/>
      <c r="D551" s="102"/>
      <c r="E551" s="102"/>
      <c r="F551" s="102"/>
      <c r="G551" s="102"/>
      <c r="H551" s="102"/>
      <c r="I551" s="102"/>
      <c r="J551" s="99"/>
      <c r="K551" s="99"/>
      <c r="L551" s="46"/>
      <c r="M551" s="6"/>
    </row>
    <row r="552" spans="1:13" ht="18">
      <c r="A552" s="3">
        <v>9</v>
      </c>
      <c r="B552" s="102"/>
      <c r="C552" s="102"/>
      <c r="D552" s="102"/>
      <c r="E552" s="102"/>
      <c r="F552" s="102"/>
      <c r="G552" s="102"/>
      <c r="H552" s="102"/>
      <c r="I552" s="102"/>
      <c r="J552" s="99"/>
      <c r="K552" s="99"/>
      <c r="L552" s="46"/>
      <c r="M552" s="6"/>
    </row>
    <row r="553" spans="1:13" ht="18">
      <c r="A553" s="3">
        <v>10</v>
      </c>
      <c r="B553" s="102"/>
      <c r="C553" s="102"/>
      <c r="D553" s="102"/>
      <c r="E553" s="102"/>
      <c r="F553" s="102"/>
      <c r="G553" s="102"/>
      <c r="H553" s="102"/>
      <c r="I553" s="102"/>
      <c r="J553" s="99"/>
      <c r="K553" s="99"/>
      <c r="L553" s="46"/>
      <c r="M553" s="6"/>
    </row>
    <row r="554" spans="1:13" ht="18">
      <c r="A554" s="3">
        <v>11</v>
      </c>
      <c r="B554" s="102"/>
      <c r="C554" s="102"/>
      <c r="D554" s="102"/>
      <c r="E554" s="102"/>
      <c r="F554" s="102"/>
      <c r="G554" s="102"/>
      <c r="H554" s="102"/>
      <c r="I554" s="102"/>
      <c r="J554" s="99"/>
      <c r="K554" s="99"/>
      <c r="L554" s="46"/>
      <c r="M554" s="6"/>
    </row>
    <row r="555" spans="1:13" ht="18">
      <c r="A555" s="3">
        <v>12</v>
      </c>
      <c r="B555" s="102"/>
      <c r="C555" s="102"/>
      <c r="D555" s="102"/>
      <c r="E555" s="102"/>
      <c r="F555" s="102"/>
      <c r="G555" s="102"/>
      <c r="H555" s="102"/>
      <c r="I555" s="102"/>
      <c r="J555" s="99"/>
      <c r="K555" s="99"/>
      <c r="L555" s="46"/>
      <c r="M555" s="6"/>
    </row>
    <row r="556" spans="1:13" ht="18">
      <c r="A556" s="3">
        <v>13</v>
      </c>
      <c r="B556" s="102"/>
      <c r="C556" s="102"/>
      <c r="D556" s="102"/>
      <c r="E556" s="102"/>
      <c r="F556" s="102"/>
      <c r="G556" s="102"/>
      <c r="H556" s="102"/>
      <c r="I556" s="102"/>
      <c r="J556" s="99"/>
      <c r="K556" s="99"/>
      <c r="L556" s="46"/>
      <c r="M556" s="6"/>
    </row>
    <row r="557" spans="1:13" ht="18">
      <c r="A557" s="3">
        <v>14</v>
      </c>
      <c r="B557" s="102"/>
      <c r="C557" s="102"/>
      <c r="D557" s="102"/>
      <c r="E557" s="102"/>
      <c r="F557" s="102"/>
      <c r="G557" s="102"/>
      <c r="H557" s="102"/>
      <c r="I557" s="102"/>
      <c r="J557" s="99"/>
      <c r="K557" s="99"/>
      <c r="L557" s="46"/>
      <c r="M557" s="6"/>
    </row>
    <row r="558" spans="1:13" ht="18">
      <c r="A558" s="3">
        <v>15</v>
      </c>
      <c r="B558" s="102"/>
      <c r="C558" s="102"/>
      <c r="D558" s="102"/>
      <c r="E558" s="102"/>
      <c r="F558" s="102"/>
      <c r="G558" s="102"/>
      <c r="H558" s="102"/>
      <c r="I558" s="102"/>
      <c r="J558" s="99"/>
      <c r="K558" s="99"/>
      <c r="L558" s="46"/>
      <c r="M558" s="6"/>
    </row>
    <row r="559" spans="1:13" ht="18">
      <c r="A559" s="3">
        <v>16</v>
      </c>
      <c r="B559" s="102"/>
      <c r="C559" s="102"/>
      <c r="D559" s="102"/>
      <c r="E559" s="102"/>
      <c r="F559" s="102"/>
      <c r="G559" s="102"/>
      <c r="H559" s="102"/>
      <c r="I559" s="102"/>
      <c r="J559" s="99"/>
      <c r="K559" s="99"/>
      <c r="L559" s="46"/>
      <c r="M559" s="6"/>
    </row>
    <row r="560" spans="1:13" ht="18">
      <c r="A560" s="3">
        <v>17</v>
      </c>
      <c r="B560" s="102"/>
      <c r="C560" s="102"/>
      <c r="D560" s="102"/>
      <c r="E560" s="102"/>
      <c r="F560" s="102"/>
      <c r="G560" s="102"/>
      <c r="H560" s="102"/>
      <c r="I560" s="102"/>
      <c r="J560" s="99"/>
      <c r="K560" s="99"/>
      <c r="L560" s="46"/>
      <c r="M560" s="6"/>
    </row>
    <row r="561" spans="1:13" ht="18">
      <c r="A561" s="3">
        <v>18</v>
      </c>
      <c r="B561" s="102"/>
      <c r="C561" s="102"/>
      <c r="D561" s="102"/>
      <c r="E561" s="102"/>
      <c r="F561" s="102"/>
      <c r="G561" s="102"/>
      <c r="H561" s="102"/>
      <c r="I561" s="102"/>
      <c r="J561" s="99"/>
      <c r="K561" s="99"/>
      <c r="L561" s="46"/>
      <c r="M561" s="6"/>
    </row>
    <row r="562" spans="1:13" ht="18">
      <c r="A562" s="3">
        <v>19</v>
      </c>
      <c r="B562" s="102"/>
      <c r="C562" s="102"/>
      <c r="D562" s="102"/>
      <c r="E562" s="102"/>
      <c r="F562" s="102"/>
      <c r="G562" s="102"/>
      <c r="H562" s="102"/>
      <c r="I562" s="102"/>
      <c r="J562" s="99"/>
      <c r="K562" s="99"/>
      <c r="L562" s="46"/>
      <c r="M562" s="6"/>
    </row>
    <row r="563" spans="1:13" ht="18">
      <c r="A563" s="3">
        <v>20</v>
      </c>
      <c r="B563" s="102"/>
      <c r="C563" s="102"/>
      <c r="D563" s="102"/>
      <c r="E563" s="102"/>
      <c r="F563" s="102"/>
      <c r="G563" s="102"/>
      <c r="H563" s="102"/>
      <c r="I563" s="102"/>
      <c r="J563" s="99"/>
      <c r="K563" s="99"/>
      <c r="L563" s="46"/>
      <c r="M563" s="6"/>
    </row>
    <row r="564" spans="1:13" ht="18">
      <c r="A564" s="3">
        <v>21</v>
      </c>
      <c r="B564" s="102"/>
      <c r="C564" s="102"/>
      <c r="D564" s="102"/>
      <c r="E564" s="102"/>
      <c r="F564" s="102"/>
      <c r="G564" s="102"/>
      <c r="H564" s="102"/>
      <c r="I564" s="102"/>
      <c r="J564" s="99"/>
      <c r="K564" s="99"/>
      <c r="L564" s="46"/>
      <c r="M564" s="6"/>
    </row>
    <row r="565" spans="1:13" ht="18">
      <c r="A565" s="3">
        <v>22</v>
      </c>
      <c r="B565" s="102"/>
      <c r="C565" s="102"/>
      <c r="D565" s="102"/>
      <c r="E565" s="102"/>
      <c r="F565" s="102"/>
      <c r="G565" s="102"/>
      <c r="H565" s="102"/>
      <c r="I565" s="102"/>
      <c r="J565" s="99"/>
      <c r="K565" s="99"/>
      <c r="L565" s="46"/>
      <c r="M565" s="6"/>
    </row>
    <row r="566" spans="1:13" ht="18">
      <c r="A566" s="3">
        <v>23</v>
      </c>
      <c r="B566" s="102"/>
      <c r="C566" s="102"/>
      <c r="D566" s="102"/>
      <c r="E566" s="102"/>
      <c r="F566" s="102"/>
      <c r="G566" s="102"/>
      <c r="H566" s="102"/>
      <c r="I566" s="102"/>
      <c r="J566" s="99"/>
      <c r="K566" s="99"/>
      <c r="L566" s="46"/>
      <c r="M566" s="6"/>
    </row>
    <row r="567" spans="1:13" ht="18">
      <c r="A567" s="3">
        <v>24</v>
      </c>
      <c r="B567" s="102"/>
      <c r="C567" s="102"/>
      <c r="D567" s="102"/>
      <c r="E567" s="102"/>
      <c r="F567" s="102"/>
      <c r="G567" s="102"/>
      <c r="H567" s="102"/>
      <c r="I567" s="102"/>
      <c r="J567" s="99"/>
      <c r="K567" s="99"/>
      <c r="L567" s="46"/>
      <c r="M567" s="6"/>
    </row>
    <row r="568" spans="1:13" ht="18">
      <c r="A568" s="3">
        <v>25</v>
      </c>
      <c r="B568" s="102"/>
      <c r="C568" s="102"/>
      <c r="D568" s="102"/>
      <c r="E568" s="102"/>
      <c r="F568" s="102"/>
      <c r="G568" s="102"/>
      <c r="H568" s="102"/>
      <c r="I568" s="102"/>
      <c r="J568" s="99"/>
      <c r="K568" s="99"/>
      <c r="L568" s="46"/>
      <c r="M568" s="6"/>
    </row>
    <row r="569" spans="1:13" ht="18">
      <c r="A569" s="3">
        <v>26</v>
      </c>
      <c r="B569" s="102"/>
      <c r="C569" s="102"/>
      <c r="D569" s="102"/>
      <c r="E569" s="102"/>
      <c r="F569" s="102"/>
      <c r="G569" s="102"/>
      <c r="H569" s="102"/>
      <c r="I569" s="102"/>
      <c r="J569" s="99"/>
      <c r="K569" s="99"/>
      <c r="L569" s="46"/>
      <c r="M569" s="6"/>
    </row>
    <row r="570" spans="1:13" ht="18">
      <c r="A570" s="3">
        <v>27</v>
      </c>
      <c r="B570" s="102"/>
      <c r="C570" s="102"/>
      <c r="D570" s="102"/>
      <c r="E570" s="102"/>
      <c r="F570" s="102"/>
      <c r="G570" s="102"/>
      <c r="H570" s="102"/>
      <c r="I570" s="102"/>
      <c r="J570" s="99"/>
      <c r="K570" s="99"/>
      <c r="L570" s="46"/>
      <c r="M570" s="6"/>
    </row>
    <row r="571" spans="1:13" ht="18">
      <c r="A571" s="3">
        <v>28</v>
      </c>
      <c r="B571" s="102"/>
      <c r="C571" s="102"/>
      <c r="D571" s="102"/>
      <c r="E571" s="102"/>
      <c r="F571" s="102"/>
      <c r="G571" s="102"/>
      <c r="H571" s="102"/>
      <c r="I571" s="102"/>
      <c r="J571" s="99"/>
      <c r="K571" s="99"/>
      <c r="L571" s="46"/>
      <c r="M571" s="6"/>
    </row>
    <row r="572" spans="1:13">
      <c r="B572" s="102"/>
      <c r="C572" s="102"/>
      <c r="D572" s="102"/>
      <c r="E572" s="102"/>
      <c r="F572" s="102"/>
      <c r="G572" s="102"/>
      <c r="H572" s="102"/>
      <c r="I572" s="102"/>
      <c r="J572" s="99"/>
      <c r="K572" s="99"/>
      <c r="L572" s="46"/>
      <c r="M572" s="6"/>
    </row>
    <row r="573" spans="1:13">
      <c r="B573" s="97"/>
      <c r="C573" s="98"/>
      <c r="D573" s="97"/>
      <c r="E573" s="98"/>
      <c r="F573" s="97"/>
      <c r="G573" s="98"/>
      <c r="H573" s="97"/>
      <c r="I573" s="98"/>
      <c r="J573" s="99"/>
      <c r="K573" s="99"/>
      <c r="L573" s="46"/>
      <c r="M573" s="6"/>
    </row>
    <row r="574" spans="1:13">
      <c r="B574" s="93"/>
      <c r="C574" s="94"/>
      <c r="D574" s="93"/>
      <c r="E574" s="94"/>
      <c r="F574" s="93"/>
      <c r="G574" s="94"/>
      <c r="H574" s="93"/>
      <c r="I574" s="94"/>
      <c r="J574" s="95"/>
      <c r="K574" s="96"/>
      <c r="L574" s="46"/>
      <c r="M574" s="6"/>
    </row>
    <row r="575" spans="1:13">
      <c r="M575" s="6"/>
    </row>
    <row r="576" spans="1:13">
      <c r="B576" s="7" t="str">
        <f>kopsavilkums!$J$2</f>
        <v>Dizšvētku Zolītes finālturnīrs Valkā 2026 (RONDO)</v>
      </c>
    </row>
    <row r="578" spans="1:18">
      <c r="G578" s="41" t="s">
        <v>62</v>
      </c>
      <c r="H578" s="43">
        <f>IF(kopsavilkums!$E$2="","",kopsavilkums!$E$2)</f>
        <v>8</v>
      </c>
    </row>
    <row r="580" spans="1:18">
      <c r="B580" s="109" t="str">
        <f>IF(N580="","",INDEX(kopsavilkums!$C$6:$C$125,N580))</f>
        <v/>
      </c>
      <c r="C580" s="101"/>
      <c r="D580" s="109" t="str">
        <f>IF(O580="","",INDEX(kopsavilkums!$C$6:$C$125,O580))</f>
        <v/>
      </c>
      <c r="E580" s="101"/>
      <c r="F580" s="109" t="str">
        <f>IF(P580="","",INDEX(kopsavilkums!$C$6:$C$125,P580))</f>
        <v/>
      </c>
      <c r="G580" s="101"/>
      <c r="H580" s="109" t="str">
        <f>IF(Q580="","",INDEX(kopsavilkums!$C$6:$C$125,Q580))</f>
        <v/>
      </c>
      <c r="I580" s="101"/>
      <c r="J580" s="109" t="str">
        <f>IF(R580="","",INDEX(kopsavilkums!$C$6:$C$125,R580))</f>
        <v/>
      </c>
      <c r="K580" s="101"/>
      <c r="N580" t="str">
        <f>IF(1&gt;IF(15&lt;=(INT(kopsavilkums!$V$2/4)-MOD(kopsavilkums!$V$2,4)),4,IF(15&lt;=INT(kopsavilkums!$V$2/4),5,0)),"",IFERROR(MATCH((IF(15&lt;=(INT(kopsavilkums!$V$2/4)-MOD(kopsavilkums!$V$2,4)),(15-1)*4,(INT(kopsavilkums!$V$2/4)-MOD(kopsavilkums!$V$2,4))*4+(15-(INT(kopsavilkums!$V$2/4)-MOD(kopsavilkums!$V$2,4))-1)*5)+1),kopsavilkums!$X$6:$X$125,0),""))</f>
        <v/>
      </c>
      <c r="O580" t="str">
        <f>IF(2&gt;IF(15&lt;=(INT(kopsavilkums!$V$2/4)-MOD(kopsavilkums!$V$2,4)),4,IF(15&lt;=INT(kopsavilkums!$V$2/4),5,0)),"",IFERROR(MATCH((IF(15&lt;=(INT(kopsavilkums!$V$2/4)-MOD(kopsavilkums!$V$2,4)),(15-1)*4,(INT(kopsavilkums!$V$2/4)-MOD(kopsavilkums!$V$2,4))*4+(15-(INT(kopsavilkums!$V$2/4)-MOD(kopsavilkums!$V$2,4))-1)*5)+2),kopsavilkums!$X$6:$X$125,0),""))</f>
        <v/>
      </c>
      <c r="P580" t="str">
        <f>IF(3&gt;IF(15&lt;=(INT(kopsavilkums!$V$2/4)-MOD(kopsavilkums!$V$2,4)),4,IF(15&lt;=INT(kopsavilkums!$V$2/4),5,0)),"",IFERROR(MATCH((IF(15&lt;=(INT(kopsavilkums!$V$2/4)-MOD(kopsavilkums!$V$2,4)),(15-1)*4,(INT(kopsavilkums!$V$2/4)-MOD(kopsavilkums!$V$2,4))*4+(15-(INT(kopsavilkums!$V$2/4)-MOD(kopsavilkums!$V$2,4))-1)*5)+3),kopsavilkums!$X$6:$X$125,0),""))</f>
        <v/>
      </c>
      <c r="Q580" t="str">
        <f>IF(4&gt;IF(15&lt;=(INT(kopsavilkums!$V$2/4)-MOD(kopsavilkums!$V$2,4)),4,IF(15&lt;=INT(kopsavilkums!$V$2/4),5,0)),"",IFERROR(MATCH((IF(15&lt;=(INT(kopsavilkums!$V$2/4)-MOD(kopsavilkums!$V$2,4)),(15-1)*4,(INT(kopsavilkums!$V$2/4)-MOD(kopsavilkums!$V$2,4))*4+(15-(INT(kopsavilkums!$V$2/4)-MOD(kopsavilkums!$V$2,4))-1)*5)+4),kopsavilkums!$X$6:$X$125,0),""))</f>
        <v/>
      </c>
      <c r="R580" t="str">
        <f>IF(5&gt;IF(15&lt;=(INT(kopsavilkums!$V$2/4)-MOD(kopsavilkums!$V$2,4)),4,IF(15&lt;=INT(kopsavilkums!$V$2/4),5,0)),"",IFERROR(MATCH((IF(15&lt;=(INT(kopsavilkums!$V$2/4)-MOD(kopsavilkums!$V$2,4)),(15-1)*4,(INT(kopsavilkums!$V$2/4)-MOD(kopsavilkums!$V$2,4))*4+(15-(INT(kopsavilkums!$V$2/4)-MOD(kopsavilkums!$V$2,4))-1)*5)+5),kopsavilkums!$X$6:$X$125,0),""))</f>
        <v/>
      </c>
    </row>
    <row r="581" spans="1:18" ht="15.75">
      <c r="A581" s="4" t="s">
        <v>63</v>
      </c>
      <c r="B581" s="105" t="str">
        <f>IF(B580="","",15)</f>
        <v/>
      </c>
      <c r="C581" s="105"/>
      <c r="D581" s="105" t="str">
        <f>IF(D580="","",15)</f>
        <v/>
      </c>
      <c r="E581" s="105"/>
      <c r="F581" s="105" t="str">
        <f>IF(F580="","",15)</f>
        <v/>
      </c>
      <c r="G581" s="105"/>
      <c r="H581" s="105" t="str">
        <f>IF(H580="","",15)</f>
        <v/>
      </c>
      <c r="I581" s="105"/>
      <c r="J581" s="107" t="str">
        <f>IF(J580="","",15)</f>
        <v/>
      </c>
      <c r="K581" s="108"/>
    </row>
    <row r="582" spans="1:18" ht="15.75">
      <c r="A582" s="5" t="s">
        <v>64</v>
      </c>
      <c r="B582" s="8" t="str">
        <f>IF(N580="","",INDEX(kopsavilkums!$T$6:$T$125,N580))</f>
        <v/>
      </c>
      <c r="C582" s="8" t="str">
        <f>IF(N580="","",INDEX(kopsavilkums!$U$6:$U$125,N580))</f>
        <v/>
      </c>
      <c r="D582" s="8" t="str">
        <f>IF(O580="","",INDEX(kopsavilkums!$T$6:$T$125,O580))</f>
        <v/>
      </c>
      <c r="E582" s="8" t="str">
        <f>IF(O580="","",INDEX(kopsavilkums!$U$6:$U$125,O580))</f>
        <v/>
      </c>
      <c r="F582" s="8" t="str">
        <f>IF(P580="","",INDEX(kopsavilkums!$T$6:$T$125,P580))</f>
        <v/>
      </c>
      <c r="G582" s="8" t="str">
        <f>IF(P580="","",INDEX(kopsavilkums!$U$6:$U$125,P580))</f>
        <v/>
      </c>
      <c r="H582" s="8" t="str">
        <f>IF(Q580="","",INDEX(kopsavilkums!$T$6:$T$125,Q580))</f>
        <v/>
      </c>
      <c r="I582" s="8" t="str">
        <f>IF(Q580="","",INDEX(kopsavilkums!$U$6:$U$125,Q580))</f>
        <v/>
      </c>
      <c r="J582" s="8" t="str">
        <f>IF(R580="","",INDEX(kopsavilkums!$T$6:$T$125,R580))</f>
        <v/>
      </c>
      <c r="K582" s="8" t="str">
        <f>IF(R580="","",INDEX(kopsavilkums!$U$6:$U$125,R580))</f>
        <v/>
      </c>
    </row>
    <row r="583" spans="1:18">
      <c r="L583" s="17" t="s">
        <v>66</v>
      </c>
      <c r="M583" s="18"/>
    </row>
    <row r="584" spans="1:18">
      <c r="M584" s="2"/>
    </row>
    <row r="585" spans="1:18" ht="18">
      <c r="A585" s="3">
        <v>1</v>
      </c>
      <c r="B585" s="102"/>
      <c r="C585" s="102"/>
      <c r="D585" s="102"/>
      <c r="E585" s="102"/>
      <c r="F585" s="102"/>
      <c r="G585" s="102"/>
      <c r="H585" s="102"/>
      <c r="I585" s="102"/>
      <c r="J585" s="99"/>
      <c r="K585" s="99"/>
      <c r="L585" s="46"/>
      <c r="M585" s="6"/>
    </row>
    <row r="586" spans="1:18" ht="18">
      <c r="A586" s="3">
        <v>2</v>
      </c>
      <c r="B586" s="102"/>
      <c r="C586" s="102"/>
      <c r="D586" s="102"/>
      <c r="E586" s="102"/>
      <c r="F586" s="102"/>
      <c r="G586" s="102"/>
      <c r="H586" s="102"/>
      <c r="I586" s="102"/>
      <c r="J586" s="99"/>
      <c r="K586" s="99"/>
      <c r="L586" s="46"/>
      <c r="M586" s="6"/>
    </row>
    <row r="587" spans="1:18" ht="18">
      <c r="A587" s="3">
        <v>3</v>
      </c>
      <c r="B587" s="102"/>
      <c r="C587" s="102"/>
      <c r="D587" s="102"/>
      <c r="E587" s="102"/>
      <c r="F587" s="102"/>
      <c r="G587" s="102"/>
      <c r="H587" s="102"/>
      <c r="I587" s="102"/>
      <c r="J587" s="99"/>
      <c r="K587" s="99"/>
      <c r="L587" s="46"/>
      <c r="M587" s="6"/>
    </row>
    <row r="588" spans="1:18" ht="18">
      <c r="A588" s="3">
        <v>4</v>
      </c>
      <c r="B588" s="102"/>
      <c r="C588" s="102"/>
      <c r="D588" s="102"/>
      <c r="E588" s="102"/>
      <c r="F588" s="102"/>
      <c r="G588" s="102"/>
      <c r="H588" s="102"/>
      <c r="I588" s="102"/>
      <c r="J588" s="99"/>
      <c r="K588" s="99"/>
      <c r="L588" s="46"/>
      <c r="M588" s="6"/>
    </row>
    <row r="589" spans="1:18" ht="18">
      <c r="A589" s="3">
        <v>5</v>
      </c>
      <c r="B589" s="102"/>
      <c r="C589" s="102"/>
      <c r="D589" s="102"/>
      <c r="E589" s="102"/>
      <c r="F589" s="102"/>
      <c r="G589" s="102"/>
      <c r="H589" s="102"/>
      <c r="I589" s="102"/>
      <c r="J589" s="99"/>
      <c r="K589" s="99"/>
      <c r="L589" s="46"/>
      <c r="M589" s="6"/>
    </row>
    <row r="590" spans="1:18" ht="18">
      <c r="A590" s="3">
        <v>6</v>
      </c>
      <c r="B590" s="102"/>
      <c r="C590" s="102"/>
      <c r="D590" s="102"/>
      <c r="E590" s="102"/>
      <c r="F590" s="102"/>
      <c r="G590" s="102"/>
      <c r="H590" s="102"/>
      <c r="I590" s="102"/>
      <c r="J590" s="99"/>
      <c r="K590" s="99"/>
      <c r="L590" s="46"/>
      <c r="M590" s="6"/>
    </row>
    <row r="591" spans="1:18" ht="18">
      <c r="A591" s="3">
        <v>7</v>
      </c>
      <c r="B591" s="102"/>
      <c r="C591" s="102"/>
      <c r="D591" s="102"/>
      <c r="E591" s="102"/>
      <c r="F591" s="102"/>
      <c r="G591" s="102"/>
      <c r="H591" s="102"/>
      <c r="I591" s="102"/>
      <c r="J591" s="99"/>
      <c r="K591" s="99"/>
      <c r="L591" s="46"/>
      <c r="M591" s="6"/>
    </row>
    <row r="592" spans="1:18" ht="18">
      <c r="A592" s="3">
        <v>8</v>
      </c>
      <c r="B592" s="102"/>
      <c r="C592" s="102"/>
      <c r="D592" s="102"/>
      <c r="E592" s="102"/>
      <c r="F592" s="102"/>
      <c r="G592" s="102"/>
      <c r="H592" s="102"/>
      <c r="I592" s="102"/>
      <c r="J592" s="99"/>
      <c r="K592" s="99"/>
      <c r="L592" s="46"/>
      <c r="M592" s="6"/>
    </row>
    <row r="593" spans="1:13" ht="18">
      <c r="A593" s="3">
        <v>9</v>
      </c>
      <c r="B593" s="102"/>
      <c r="C593" s="102"/>
      <c r="D593" s="102"/>
      <c r="E593" s="102"/>
      <c r="F593" s="102"/>
      <c r="G593" s="102"/>
      <c r="H593" s="102"/>
      <c r="I593" s="102"/>
      <c r="J593" s="99"/>
      <c r="K593" s="99"/>
      <c r="L593" s="46"/>
      <c r="M593" s="6"/>
    </row>
    <row r="594" spans="1:13" ht="18">
      <c r="A594" s="3">
        <v>10</v>
      </c>
      <c r="B594" s="102"/>
      <c r="C594" s="102"/>
      <c r="D594" s="102"/>
      <c r="E594" s="102"/>
      <c r="F594" s="102"/>
      <c r="G594" s="102"/>
      <c r="H594" s="102"/>
      <c r="I594" s="102"/>
      <c r="J594" s="99"/>
      <c r="K594" s="99"/>
      <c r="L594" s="46"/>
      <c r="M594" s="6"/>
    </row>
    <row r="595" spans="1:13" ht="18">
      <c r="A595" s="3">
        <v>11</v>
      </c>
      <c r="B595" s="102"/>
      <c r="C595" s="102"/>
      <c r="D595" s="102"/>
      <c r="E595" s="102"/>
      <c r="F595" s="102"/>
      <c r="G595" s="102"/>
      <c r="H595" s="102"/>
      <c r="I595" s="102"/>
      <c r="J595" s="99"/>
      <c r="K595" s="99"/>
      <c r="L595" s="46"/>
      <c r="M595" s="6"/>
    </row>
    <row r="596" spans="1:13" ht="18">
      <c r="A596" s="3">
        <v>12</v>
      </c>
      <c r="B596" s="102"/>
      <c r="C596" s="102"/>
      <c r="D596" s="102"/>
      <c r="E596" s="102"/>
      <c r="F596" s="102"/>
      <c r="G596" s="102"/>
      <c r="H596" s="102"/>
      <c r="I596" s="102"/>
      <c r="J596" s="99"/>
      <c r="K596" s="99"/>
      <c r="L596" s="46"/>
      <c r="M596" s="6"/>
    </row>
    <row r="597" spans="1:13" ht="18">
      <c r="A597" s="3">
        <v>13</v>
      </c>
      <c r="B597" s="102"/>
      <c r="C597" s="102"/>
      <c r="D597" s="102"/>
      <c r="E597" s="102"/>
      <c r="F597" s="102"/>
      <c r="G597" s="102"/>
      <c r="H597" s="102"/>
      <c r="I597" s="102"/>
      <c r="J597" s="99"/>
      <c r="K597" s="99"/>
      <c r="L597" s="46"/>
      <c r="M597" s="6"/>
    </row>
    <row r="598" spans="1:13" ht="18">
      <c r="A598" s="3">
        <v>14</v>
      </c>
      <c r="B598" s="102"/>
      <c r="C598" s="102"/>
      <c r="D598" s="102"/>
      <c r="E598" s="102"/>
      <c r="F598" s="102"/>
      <c r="G598" s="102"/>
      <c r="H598" s="102"/>
      <c r="I598" s="102"/>
      <c r="J598" s="99"/>
      <c r="K598" s="99"/>
      <c r="L598" s="46"/>
      <c r="M598" s="6"/>
    </row>
    <row r="599" spans="1:13" ht="18">
      <c r="A599" s="3">
        <v>15</v>
      </c>
      <c r="B599" s="102"/>
      <c r="C599" s="102"/>
      <c r="D599" s="102"/>
      <c r="E599" s="102"/>
      <c r="F599" s="102"/>
      <c r="G599" s="102"/>
      <c r="H599" s="102"/>
      <c r="I599" s="102"/>
      <c r="J599" s="99"/>
      <c r="K599" s="99"/>
      <c r="L599" s="46"/>
      <c r="M599" s="6"/>
    </row>
    <row r="600" spans="1:13" ht="18">
      <c r="A600" s="3">
        <v>16</v>
      </c>
      <c r="B600" s="102"/>
      <c r="C600" s="102"/>
      <c r="D600" s="102"/>
      <c r="E600" s="102"/>
      <c r="F600" s="102"/>
      <c r="G600" s="102"/>
      <c r="H600" s="102"/>
      <c r="I600" s="102"/>
      <c r="J600" s="99"/>
      <c r="K600" s="99"/>
      <c r="L600" s="46"/>
      <c r="M600" s="6"/>
    </row>
    <row r="601" spans="1:13" ht="18">
      <c r="A601" s="3">
        <v>17</v>
      </c>
      <c r="B601" s="102"/>
      <c r="C601" s="102"/>
      <c r="D601" s="102"/>
      <c r="E601" s="102"/>
      <c r="F601" s="102"/>
      <c r="G601" s="102"/>
      <c r="H601" s="102"/>
      <c r="I601" s="102"/>
      <c r="J601" s="99"/>
      <c r="K601" s="99"/>
      <c r="L601" s="46"/>
      <c r="M601" s="6"/>
    </row>
    <row r="602" spans="1:13" ht="18">
      <c r="A602" s="3">
        <v>18</v>
      </c>
      <c r="B602" s="102"/>
      <c r="C602" s="102"/>
      <c r="D602" s="102"/>
      <c r="E602" s="102"/>
      <c r="F602" s="102"/>
      <c r="G602" s="102"/>
      <c r="H602" s="102"/>
      <c r="I602" s="102"/>
      <c r="J602" s="99"/>
      <c r="K602" s="99"/>
      <c r="L602" s="46"/>
      <c r="M602" s="6"/>
    </row>
    <row r="603" spans="1:13" ht="18">
      <c r="A603" s="3">
        <v>19</v>
      </c>
      <c r="B603" s="102"/>
      <c r="C603" s="102"/>
      <c r="D603" s="102"/>
      <c r="E603" s="102"/>
      <c r="F603" s="102"/>
      <c r="G603" s="102"/>
      <c r="H603" s="102"/>
      <c r="I603" s="102"/>
      <c r="J603" s="99"/>
      <c r="K603" s="99"/>
      <c r="L603" s="46"/>
      <c r="M603" s="6"/>
    </row>
    <row r="604" spans="1:13" ht="18">
      <c r="A604" s="3">
        <v>20</v>
      </c>
      <c r="B604" s="102"/>
      <c r="C604" s="102"/>
      <c r="D604" s="102"/>
      <c r="E604" s="102"/>
      <c r="F604" s="102"/>
      <c r="G604" s="102"/>
      <c r="H604" s="102"/>
      <c r="I604" s="102"/>
      <c r="J604" s="99"/>
      <c r="K604" s="99"/>
      <c r="L604" s="46"/>
      <c r="M604" s="6"/>
    </row>
    <row r="605" spans="1:13" ht="18">
      <c r="A605" s="3">
        <v>21</v>
      </c>
      <c r="B605" s="102"/>
      <c r="C605" s="102"/>
      <c r="D605" s="102"/>
      <c r="E605" s="102"/>
      <c r="F605" s="102"/>
      <c r="G605" s="102"/>
      <c r="H605" s="102"/>
      <c r="I605" s="102"/>
      <c r="J605" s="99"/>
      <c r="K605" s="99"/>
      <c r="L605" s="46"/>
      <c r="M605" s="6"/>
    </row>
    <row r="606" spans="1:13" ht="18">
      <c r="A606" s="3">
        <v>22</v>
      </c>
      <c r="B606" s="102"/>
      <c r="C606" s="102"/>
      <c r="D606" s="102"/>
      <c r="E606" s="102"/>
      <c r="F606" s="102"/>
      <c r="G606" s="102"/>
      <c r="H606" s="102"/>
      <c r="I606" s="102"/>
      <c r="J606" s="99"/>
      <c r="K606" s="99"/>
      <c r="L606" s="46"/>
      <c r="M606" s="6"/>
    </row>
    <row r="607" spans="1:13" ht="18">
      <c r="A607" s="3">
        <v>23</v>
      </c>
      <c r="B607" s="102"/>
      <c r="C607" s="102"/>
      <c r="D607" s="102"/>
      <c r="E607" s="102"/>
      <c r="F607" s="102"/>
      <c r="G607" s="102"/>
      <c r="H607" s="102"/>
      <c r="I607" s="102"/>
      <c r="J607" s="99"/>
      <c r="K607" s="99"/>
      <c r="L607" s="46"/>
      <c r="M607" s="6"/>
    </row>
    <row r="608" spans="1:13" ht="18">
      <c r="A608" s="3">
        <v>24</v>
      </c>
      <c r="B608" s="102"/>
      <c r="C608" s="102"/>
      <c r="D608" s="102"/>
      <c r="E608" s="102"/>
      <c r="F608" s="102"/>
      <c r="G608" s="102"/>
      <c r="H608" s="102"/>
      <c r="I608" s="102"/>
      <c r="J608" s="99"/>
      <c r="K608" s="99"/>
      <c r="L608" s="46"/>
      <c r="M608" s="6"/>
    </row>
    <row r="609" spans="1:18" ht="18">
      <c r="A609" s="3">
        <v>25</v>
      </c>
      <c r="B609" s="102"/>
      <c r="C609" s="102"/>
      <c r="D609" s="102"/>
      <c r="E609" s="102"/>
      <c r="F609" s="102"/>
      <c r="G609" s="102"/>
      <c r="H609" s="102"/>
      <c r="I609" s="102"/>
      <c r="J609" s="99"/>
      <c r="K609" s="99"/>
      <c r="L609" s="46"/>
      <c r="M609" s="6"/>
    </row>
    <row r="610" spans="1:18" ht="18">
      <c r="A610" s="3">
        <v>26</v>
      </c>
      <c r="B610" s="102"/>
      <c r="C610" s="102"/>
      <c r="D610" s="102"/>
      <c r="E610" s="102"/>
      <c r="F610" s="102"/>
      <c r="G610" s="102"/>
      <c r="H610" s="102"/>
      <c r="I610" s="102"/>
      <c r="J610" s="99"/>
      <c r="K610" s="99"/>
      <c r="L610" s="46"/>
      <c r="M610" s="6"/>
    </row>
    <row r="611" spans="1:18" ht="18">
      <c r="A611" s="3">
        <v>27</v>
      </c>
      <c r="B611" s="102"/>
      <c r="C611" s="102"/>
      <c r="D611" s="102"/>
      <c r="E611" s="102"/>
      <c r="F611" s="102"/>
      <c r="G611" s="102"/>
      <c r="H611" s="102"/>
      <c r="I611" s="102"/>
      <c r="J611" s="99"/>
      <c r="K611" s="99"/>
      <c r="L611" s="46"/>
      <c r="M611" s="6"/>
    </row>
    <row r="612" spans="1:18" ht="18">
      <c r="A612" s="3">
        <v>28</v>
      </c>
      <c r="B612" s="102"/>
      <c r="C612" s="102"/>
      <c r="D612" s="102"/>
      <c r="E612" s="102"/>
      <c r="F612" s="102"/>
      <c r="G612" s="102"/>
      <c r="H612" s="102"/>
      <c r="I612" s="102"/>
      <c r="J612" s="99"/>
      <c r="K612" s="99"/>
      <c r="L612" s="46"/>
      <c r="M612" s="6"/>
    </row>
    <row r="613" spans="1:18">
      <c r="B613" s="102"/>
      <c r="C613" s="102"/>
      <c r="D613" s="102"/>
      <c r="E613" s="102"/>
      <c r="F613" s="102"/>
      <c r="G613" s="102"/>
      <c r="H613" s="102"/>
      <c r="I613" s="102"/>
      <c r="J613" s="99"/>
      <c r="K613" s="99"/>
      <c r="L613" s="46"/>
      <c r="M613" s="6"/>
    </row>
    <row r="614" spans="1:18">
      <c r="B614" s="97"/>
      <c r="C614" s="98"/>
      <c r="D614" s="97"/>
      <c r="E614" s="98"/>
      <c r="F614" s="97"/>
      <c r="G614" s="98"/>
      <c r="H614" s="97"/>
      <c r="I614" s="98"/>
      <c r="J614" s="99"/>
      <c r="K614" s="99"/>
      <c r="L614" s="46"/>
      <c r="M614" s="6"/>
    </row>
    <row r="615" spans="1:18">
      <c r="B615" s="93"/>
      <c r="C615" s="94"/>
      <c r="D615" s="93"/>
      <c r="E615" s="94"/>
      <c r="F615" s="93"/>
      <c r="G615" s="94"/>
      <c r="H615" s="93"/>
      <c r="I615" s="94"/>
      <c r="J615" s="95"/>
      <c r="K615" s="96"/>
      <c r="L615" s="46"/>
      <c r="M615" s="6"/>
    </row>
    <row r="616" spans="1:18">
      <c r="M616" s="6"/>
    </row>
    <row r="617" spans="1:18">
      <c r="B617" s="7" t="str">
        <f>kopsavilkums!$J$2</f>
        <v>Dizšvētku Zolītes finālturnīrs Valkā 2026 (RONDO)</v>
      </c>
    </row>
    <row r="619" spans="1:18">
      <c r="G619" s="41" t="s">
        <v>62</v>
      </c>
      <c r="H619" s="43">
        <f>IF(kopsavilkums!$E$2="","",kopsavilkums!$E$2)</f>
        <v>8</v>
      </c>
    </row>
    <row r="620" spans="1:18" ht="14.45" customHeight="1">
      <c r="B620" s="66"/>
      <c r="C620" s="66"/>
      <c r="D620" s="66"/>
      <c r="E620" s="66"/>
      <c r="F620" s="66"/>
      <c r="G620" s="66"/>
      <c r="H620" s="66"/>
      <c r="I620" s="66"/>
    </row>
    <row r="621" spans="1:18">
      <c r="B621" s="67" t="str">
        <f>IF(N621="","",INDEX(kopsavilkums!$C$6:$C$125,N621))</f>
        <v/>
      </c>
      <c r="C621" s="68"/>
      <c r="D621" s="67" t="str">
        <f>IF(O621="","",INDEX(kopsavilkums!$C$6:$C$125,O621))</f>
        <v/>
      </c>
      <c r="E621" s="68"/>
      <c r="F621" s="67" t="str">
        <f>IF(P621="","",INDEX(kopsavilkums!$C$6:$C$125,P621))</f>
        <v/>
      </c>
      <c r="G621" s="68"/>
      <c r="H621" s="67" t="str">
        <f>IF(Q621="","",INDEX(kopsavilkums!$C$6:$C$125,Q621))</f>
        <v/>
      </c>
      <c r="I621" s="68"/>
      <c r="J621" s="100" t="str">
        <f>IF(R621="","",INDEX(kopsavilkums!$C$6:$C$125,R621))</f>
        <v/>
      </c>
      <c r="K621" s="101"/>
      <c r="N621" t="str">
        <f>IF(1&gt;IF(16&lt;=(INT(kopsavilkums!$V$2/4)-MOD(kopsavilkums!$V$2,4)),4,IF(16&lt;=INT(kopsavilkums!$V$2/4),5,0)),"",IFERROR(MATCH((IF(16&lt;=(INT(kopsavilkums!$V$2/4)-MOD(kopsavilkums!$V$2,4)),(16-1)*4,(INT(kopsavilkums!$V$2/4)-MOD(kopsavilkums!$V$2,4))*4+(16-(INT(kopsavilkums!$V$2/4)-MOD(kopsavilkums!$V$2,4))-1)*5)+1),kopsavilkums!$X$6:$X$125,0),""))</f>
        <v/>
      </c>
      <c r="O621" t="str">
        <f>IF(2&gt;IF(16&lt;=(INT(kopsavilkums!$V$2/4)-MOD(kopsavilkums!$V$2,4)),4,IF(16&lt;=INT(kopsavilkums!$V$2/4),5,0)),"",IFERROR(MATCH((IF(16&lt;=(INT(kopsavilkums!$V$2/4)-MOD(kopsavilkums!$V$2,4)),(16-1)*4,(INT(kopsavilkums!$V$2/4)-MOD(kopsavilkums!$V$2,4))*4+(16-(INT(kopsavilkums!$V$2/4)-MOD(kopsavilkums!$V$2,4))-1)*5)+2),kopsavilkums!$X$6:$X$125,0),""))</f>
        <v/>
      </c>
      <c r="P621" t="str">
        <f>IF(3&gt;IF(16&lt;=(INT(kopsavilkums!$V$2/4)-MOD(kopsavilkums!$V$2,4)),4,IF(16&lt;=INT(kopsavilkums!$V$2/4),5,0)),"",IFERROR(MATCH((IF(16&lt;=(INT(kopsavilkums!$V$2/4)-MOD(kopsavilkums!$V$2,4)),(16-1)*4,(INT(kopsavilkums!$V$2/4)-MOD(kopsavilkums!$V$2,4))*4+(16-(INT(kopsavilkums!$V$2/4)-MOD(kopsavilkums!$V$2,4))-1)*5)+3),kopsavilkums!$X$6:$X$125,0),""))</f>
        <v/>
      </c>
      <c r="Q621" t="str">
        <f>IF(4&gt;IF(16&lt;=(INT(kopsavilkums!$V$2/4)-MOD(kopsavilkums!$V$2,4)),4,IF(16&lt;=INT(kopsavilkums!$V$2/4),5,0)),"",IFERROR(MATCH((IF(16&lt;=(INT(kopsavilkums!$V$2/4)-MOD(kopsavilkums!$V$2,4)),(16-1)*4,(INT(kopsavilkums!$V$2/4)-MOD(kopsavilkums!$V$2,4))*4+(16-(INT(kopsavilkums!$V$2/4)-MOD(kopsavilkums!$V$2,4))-1)*5)+4),kopsavilkums!$X$6:$X$125,0),""))</f>
        <v/>
      </c>
      <c r="R621" t="str">
        <f>IF(5&gt;IF(16&lt;=(INT(kopsavilkums!$V$2/4)-MOD(kopsavilkums!$V$2,4)),4,IF(16&lt;=INT(kopsavilkums!$V$2/4),5,0)),"",IFERROR(MATCH((IF(16&lt;=(INT(kopsavilkums!$V$2/4)-MOD(kopsavilkums!$V$2,4)),(16-1)*4,(INT(kopsavilkums!$V$2/4)-MOD(kopsavilkums!$V$2,4))*4+(16-(INT(kopsavilkums!$V$2/4)-MOD(kopsavilkums!$V$2,4))-1)*5)+5),kopsavilkums!$X$6:$X$125,0),""))</f>
        <v/>
      </c>
    </row>
    <row r="622" spans="1:18" ht="15.75">
      <c r="A622" s="4" t="s">
        <v>63</v>
      </c>
      <c r="B622" s="106" t="str">
        <f>IF(B621="","",16)</f>
        <v/>
      </c>
      <c r="C622" s="106"/>
      <c r="D622" s="105" t="str">
        <f>IF(D621="","",16)</f>
        <v/>
      </c>
      <c r="E622" s="105"/>
      <c r="F622" s="105" t="str">
        <f>IF(F621="","",16)</f>
        <v/>
      </c>
      <c r="G622" s="105"/>
      <c r="H622" s="106" t="str">
        <f>IF(H621="","",16)</f>
        <v/>
      </c>
      <c r="I622" s="106"/>
      <c r="J622" s="105" t="str">
        <f>IF(J621="","",16)</f>
        <v/>
      </c>
      <c r="K622" s="105"/>
    </row>
    <row r="623" spans="1:18" ht="15.75">
      <c r="A623" s="5" t="s">
        <v>64</v>
      </c>
      <c r="B623" s="8" t="str">
        <f>IF(N621="","",INDEX(kopsavilkums!$T$6:$T$125,N621))</f>
        <v/>
      </c>
      <c r="C623" s="8" t="str">
        <f>IF(N621="","",INDEX(kopsavilkums!$U$6:$U$125,N621))</f>
        <v/>
      </c>
      <c r="D623" s="8" t="str">
        <f>IF(O621="","",INDEX(kopsavilkums!$T$6:$T$125,O621))</f>
        <v/>
      </c>
      <c r="E623" s="8" t="str">
        <f>IF(O621="","",INDEX(kopsavilkums!$U$6:$U$125,O621))</f>
        <v/>
      </c>
      <c r="F623" s="8" t="str">
        <f>IF(P621="","",INDEX(kopsavilkums!$T$6:$T$125,P621))</f>
        <v/>
      </c>
      <c r="G623" s="8" t="str">
        <f>IF(P621="","",INDEX(kopsavilkums!$U$6:$U$125,P621))</f>
        <v/>
      </c>
      <c r="H623" s="8" t="str">
        <f>IF(Q621="","",INDEX(kopsavilkums!$T$6:$T$125,Q621))</f>
        <v/>
      </c>
      <c r="I623" s="8" t="str">
        <f>IF(Q621="","",INDEX(kopsavilkums!$U$6:$U$125,Q621))</f>
        <v/>
      </c>
      <c r="J623" s="8" t="str">
        <f>IF(R621="","",INDEX(kopsavilkums!$T$6:$T$125,R621))</f>
        <v/>
      </c>
      <c r="K623" s="8" t="str">
        <f>IF(R621="","",INDEX(kopsavilkums!$U$6:$U$125,R621))</f>
        <v/>
      </c>
    </row>
    <row r="624" spans="1:18">
      <c r="L624" s="17" t="s">
        <v>66</v>
      </c>
      <c r="M624" s="18"/>
    </row>
    <row r="625" spans="1:13">
      <c r="M625" s="2"/>
    </row>
    <row r="626" spans="1:13" ht="18">
      <c r="A626" s="3">
        <v>1</v>
      </c>
      <c r="B626" s="102"/>
      <c r="C626" s="102"/>
      <c r="D626" s="102"/>
      <c r="E626" s="102"/>
      <c r="F626" s="102"/>
      <c r="G626" s="102"/>
      <c r="H626" s="102"/>
      <c r="I626" s="102"/>
      <c r="J626" s="99"/>
      <c r="K626" s="99"/>
      <c r="L626" s="46"/>
      <c r="M626" s="6"/>
    </row>
    <row r="627" spans="1:13" ht="18">
      <c r="A627" s="3">
        <v>2</v>
      </c>
      <c r="B627" s="102"/>
      <c r="C627" s="102"/>
      <c r="D627" s="102"/>
      <c r="E627" s="102"/>
      <c r="F627" s="102"/>
      <c r="G627" s="102"/>
      <c r="H627" s="102"/>
      <c r="I627" s="102"/>
      <c r="J627" s="99"/>
      <c r="K627" s="99"/>
      <c r="L627" s="46"/>
      <c r="M627" s="6"/>
    </row>
    <row r="628" spans="1:13" ht="18">
      <c r="A628" s="3">
        <v>3</v>
      </c>
      <c r="B628" s="102"/>
      <c r="C628" s="102"/>
      <c r="D628" s="102"/>
      <c r="E628" s="102"/>
      <c r="F628" s="102"/>
      <c r="G628" s="102"/>
      <c r="H628" s="102"/>
      <c r="I628" s="102"/>
      <c r="J628" s="99"/>
      <c r="K628" s="99"/>
      <c r="L628" s="46"/>
      <c r="M628" s="6"/>
    </row>
    <row r="629" spans="1:13" ht="18">
      <c r="A629" s="3">
        <v>4</v>
      </c>
      <c r="B629" s="102"/>
      <c r="C629" s="102"/>
      <c r="D629" s="102"/>
      <c r="E629" s="102"/>
      <c r="F629" s="102"/>
      <c r="G629" s="102"/>
      <c r="H629" s="102"/>
      <c r="I629" s="102"/>
      <c r="J629" s="99"/>
      <c r="K629" s="99"/>
      <c r="L629" s="46"/>
      <c r="M629" s="6"/>
    </row>
    <row r="630" spans="1:13" ht="18">
      <c r="A630" s="3">
        <v>5</v>
      </c>
      <c r="B630" s="102"/>
      <c r="C630" s="102"/>
      <c r="D630" s="102"/>
      <c r="E630" s="102"/>
      <c r="F630" s="102"/>
      <c r="G630" s="102"/>
      <c r="H630" s="102"/>
      <c r="I630" s="102"/>
      <c r="J630" s="99"/>
      <c r="K630" s="99"/>
      <c r="L630" s="46"/>
      <c r="M630" s="6"/>
    </row>
    <row r="631" spans="1:13" ht="18">
      <c r="A631" s="3">
        <v>6</v>
      </c>
      <c r="B631" s="102"/>
      <c r="C631" s="102"/>
      <c r="D631" s="102"/>
      <c r="E631" s="102"/>
      <c r="F631" s="102"/>
      <c r="G631" s="102"/>
      <c r="H631" s="102"/>
      <c r="I631" s="102"/>
      <c r="J631" s="99"/>
      <c r="K631" s="99"/>
      <c r="L631" s="46"/>
      <c r="M631" s="6"/>
    </row>
    <row r="632" spans="1:13" ht="18">
      <c r="A632" s="3">
        <v>7</v>
      </c>
      <c r="B632" s="102"/>
      <c r="C632" s="102"/>
      <c r="D632" s="102"/>
      <c r="E632" s="102"/>
      <c r="F632" s="102"/>
      <c r="G632" s="102"/>
      <c r="H632" s="102"/>
      <c r="I632" s="102"/>
      <c r="J632" s="99"/>
      <c r="K632" s="99"/>
      <c r="L632" s="46"/>
      <c r="M632" s="6"/>
    </row>
    <row r="633" spans="1:13" ht="18">
      <c r="A633" s="3">
        <v>8</v>
      </c>
      <c r="B633" s="102"/>
      <c r="C633" s="102"/>
      <c r="D633" s="102"/>
      <c r="E633" s="102"/>
      <c r="F633" s="102"/>
      <c r="G633" s="102"/>
      <c r="H633" s="102"/>
      <c r="I633" s="102"/>
      <c r="J633" s="99"/>
      <c r="K633" s="99"/>
      <c r="L633" s="46"/>
      <c r="M633" s="6"/>
    </row>
    <row r="634" spans="1:13" ht="18">
      <c r="A634" s="3">
        <v>9</v>
      </c>
      <c r="B634" s="102"/>
      <c r="C634" s="102"/>
      <c r="D634" s="102"/>
      <c r="E634" s="102"/>
      <c r="F634" s="102"/>
      <c r="G634" s="102"/>
      <c r="H634" s="102"/>
      <c r="I634" s="102"/>
      <c r="J634" s="99"/>
      <c r="K634" s="99"/>
      <c r="L634" s="46"/>
      <c r="M634" s="6"/>
    </row>
    <row r="635" spans="1:13" ht="18">
      <c r="A635" s="3">
        <v>10</v>
      </c>
      <c r="B635" s="102"/>
      <c r="C635" s="102"/>
      <c r="D635" s="102"/>
      <c r="E635" s="102"/>
      <c r="F635" s="102"/>
      <c r="G635" s="102"/>
      <c r="H635" s="102"/>
      <c r="I635" s="102"/>
      <c r="J635" s="99"/>
      <c r="K635" s="99"/>
      <c r="L635" s="46"/>
      <c r="M635" s="6"/>
    </row>
    <row r="636" spans="1:13" ht="18">
      <c r="A636" s="3">
        <v>11</v>
      </c>
      <c r="B636" s="102"/>
      <c r="C636" s="102"/>
      <c r="D636" s="102"/>
      <c r="E636" s="102"/>
      <c r="F636" s="102"/>
      <c r="G636" s="102"/>
      <c r="H636" s="102"/>
      <c r="I636" s="102"/>
      <c r="J636" s="99"/>
      <c r="K636" s="99"/>
      <c r="L636" s="46"/>
      <c r="M636" s="6"/>
    </row>
    <row r="637" spans="1:13" ht="18">
      <c r="A637" s="3">
        <v>12</v>
      </c>
      <c r="B637" s="102"/>
      <c r="C637" s="102"/>
      <c r="D637" s="102"/>
      <c r="E637" s="102"/>
      <c r="F637" s="102"/>
      <c r="G637" s="102"/>
      <c r="H637" s="102"/>
      <c r="I637" s="102"/>
      <c r="J637" s="99"/>
      <c r="K637" s="99"/>
      <c r="L637" s="46"/>
      <c r="M637" s="6"/>
    </row>
    <row r="638" spans="1:13" ht="18">
      <c r="A638" s="3">
        <v>13</v>
      </c>
      <c r="B638" s="102"/>
      <c r="C638" s="102"/>
      <c r="D638" s="102"/>
      <c r="E638" s="102"/>
      <c r="F638" s="102"/>
      <c r="G638" s="102"/>
      <c r="H638" s="102"/>
      <c r="I638" s="102"/>
      <c r="J638" s="99"/>
      <c r="K638" s="99"/>
      <c r="L638" s="46"/>
      <c r="M638" s="6"/>
    </row>
    <row r="639" spans="1:13" ht="18">
      <c r="A639" s="3">
        <v>14</v>
      </c>
      <c r="B639" s="102"/>
      <c r="C639" s="102"/>
      <c r="D639" s="102"/>
      <c r="E639" s="102"/>
      <c r="F639" s="102"/>
      <c r="G639" s="102"/>
      <c r="H639" s="102"/>
      <c r="I639" s="102"/>
      <c r="J639" s="99"/>
      <c r="K639" s="99"/>
      <c r="L639" s="46"/>
      <c r="M639" s="6"/>
    </row>
    <row r="640" spans="1:13" ht="18">
      <c r="A640" s="3">
        <v>15</v>
      </c>
      <c r="B640" s="102"/>
      <c r="C640" s="102"/>
      <c r="D640" s="102"/>
      <c r="E640" s="102"/>
      <c r="F640" s="102"/>
      <c r="G640" s="102"/>
      <c r="H640" s="102"/>
      <c r="I640" s="102"/>
      <c r="J640" s="99"/>
      <c r="K640" s="99"/>
      <c r="L640" s="46"/>
      <c r="M640" s="6"/>
    </row>
    <row r="641" spans="1:13" ht="18">
      <c r="A641" s="3">
        <v>16</v>
      </c>
      <c r="B641" s="102"/>
      <c r="C641" s="102"/>
      <c r="D641" s="102"/>
      <c r="E641" s="102"/>
      <c r="F641" s="102"/>
      <c r="G641" s="102"/>
      <c r="H641" s="102"/>
      <c r="I641" s="102"/>
      <c r="J641" s="99"/>
      <c r="K641" s="99"/>
      <c r="L641" s="46"/>
      <c r="M641" s="6"/>
    </row>
    <row r="642" spans="1:13" ht="18">
      <c r="A642" s="3">
        <v>17</v>
      </c>
      <c r="B642" s="102"/>
      <c r="C642" s="102"/>
      <c r="D642" s="102"/>
      <c r="E642" s="102"/>
      <c r="F642" s="102"/>
      <c r="G642" s="102"/>
      <c r="H642" s="102"/>
      <c r="I642" s="102"/>
      <c r="J642" s="99"/>
      <c r="K642" s="99"/>
      <c r="L642" s="46"/>
      <c r="M642" s="6"/>
    </row>
    <row r="643" spans="1:13" ht="18">
      <c r="A643" s="3">
        <v>18</v>
      </c>
      <c r="B643" s="102"/>
      <c r="C643" s="102"/>
      <c r="D643" s="102"/>
      <c r="E643" s="102"/>
      <c r="F643" s="102"/>
      <c r="G643" s="102"/>
      <c r="H643" s="102"/>
      <c r="I643" s="102"/>
      <c r="J643" s="99"/>
      <c r="K643" s="99"/>
      <c r="L643" s="46"/>
      <c r="M643" s="6"/>
    </row>
    <row r="644" spans="1:13" ht="18">
      <c r="A644" s="3">
        <v>19</v>
      </c>
      <c r="B644" s="102"/>
      <c r="C644" s="102"/>
      <c r="D644" s="102"/>
      <c r="E644" s="102"/>
      <c r="F644" s="102"/>
      <c r="G644" s="102"/>
      <c r="H644" s="102"/>
      <c r="I644" s="102"/>
      <c r="J644" s="99"/>
      <c r="K644" s="99"/>
      <c r="L644" s="46"/>
      <c r="M644" s="6"/>
    </row>
    <row r="645" spans="1:13" ht="18">
      <c r="A645" s="3">
        <v>20</v>
      </c>
      <c r="B645" s="102"/>
      <c r="C645" s="102"/>
      <c r="D645" s="102"/>
      <c r="E645" s="102"/>
      <c r="F645" s="102"/>
      <c r="G645" s="102"/>
      <c r="H645" s="102"/>
      <c r="I645" s="102"/>
      <c r="J645" s="99"/>
      <c r="K645" s="99"/>
      <c r="L645" s="46"/>
      <c r="M645" s="6"/>
    </row>
    <row r="646" spans="1:13" ht="18">
      <c r="A646" s="3">
        <v>21</v>
      </c>
      <c r="B646" s="102"/>
      <c r="C646" s="102"/>
      <c r="D646" s="102"/>
      <c r="E646" s="102"/>
      <c r="F646" s="102"/>
      <c r="G646" s="102"/>
      <c r="H646" s="102"/>
      <c r="I646" s="102"/>
      <c r="J646" s="99"/>
      <c r="K646" s="99"/>
      <c r="L646" s="46"/>
      <c r="M646" s="6"/>
    </row>
    <row r="647" spans="1:13" ht="18">
      <c r="A647" s="3">
        <v>22</v>
      </c>
      <c r="B647" s="102"/>
      <c r="C647" s="102"/>
      <c r="D647" s="102"/>
      <c r="E647" s="102"/>
      <c r="F647" s="102"/>
      <c r="G647" s="102"/>
      <c r="H647" s="102"/>
      <c r="I647" s="102"/>
      <c r="J647" s="99"/>
      <c r="K647" s="99"/>
      <c r="L647" s="46"/>
      <c r="M647" s="6"/>
    </row>
    <row r="648" spans="1:13" ht="18">
      <c r="A648" s="3">
        <v>23</v>
      </c>
      <c r="B648" s="102"/>
      <c r="C648" s="102"/>
      <c r="D648" s="102"/>
      <c r="E648" s="102"/>
      <c r="F648" s="102"/>
      <c r="G648" s="102"/>
      <c r="H648" s="102"/>
      <c r="I648" s="102"/>
      <c r="J648" s="99"/>
      <c r="K648" s="99"/>
      <c r="L648" s="46"/>
      <c r="M648" s="6"/>
    </row>
    <row r="649" spans="1:13" ht="18">
      <c r="A649" s="3">
        <v>24</v>
      </c>
      <c r="B649" s="102"/>
      <c r="C649" s="102"/>
      <c r="D649" s="102"/>
      <c r="E649" s="102"/>
      <c r="F649" s="102"/>
      <c r="G649" s="102"/>
      <c r="H649" s="102"/>
      <c r="I649" s="102"/>
      <c r="J649" s="99"/>
      <c r="K649" s="99"/>
      <c r="L649" s="46"/>
      <c r="M649" s="6"/>
    </row>
    <row r="650" spans="1:13" ht="18">
      <c r="A650" s="3">
        <v>25</v>
      </c>
      <c r="B650" s="102"/>
      <c r="C650" s="102"/>
      <c r="D650" s="102"/>
      <c r="E650" s="102"/>
      <c r="F650" s="102"/>
      <c r="G650" s="102"/>
      <c r="H650" s="102"/>
      <c r="I650" s="102"/>
      <c r="J650" s="99"/>
      <c r="K650" s="99"/>
      <c r="L650" s="46"/>
      <c r="M650" s="6"/>
    </row>
    <row r="651" spans="1:13" ht="18">
      <c r="A651" s="3">
        <v>26</v>
      </c>
      <c r="B651" s="102"/>
      <c r="C651" s="102"/>
      <c r="D651" s="102"/>
      <c r="E651" s="102"/>
      <c r="F651" s="102"/>
      <c r="G651" s="102"/>
      <c r="H651" s="102"/>
      <c r="I651" s="102"/>
      <c r="J651" s="99"/>
      <c r="K651" s="99"/>
      <c r="L651" s="46"/>
      <c r="M651" s="6"/>
    </row>
    <row r="652" spans="1:13" ht="18">
      <c r="A652" s="3">
        <v>27</v>
      </c>
      <c r="B652" s="102"/>
      <c r="C652" s="102"/>
      <c r="D652" s="102"/>
      <c r="E652" s="102"/>
      <c r="F652" s="102"/>
      <c r="G652" s="102"/>
      <c r="H652" s="102"/>
      <c r="I652" s="102"/>
      <c r="J652" s="99"/>
      <c r="K652" s="99"/>
      <c r="L652" s="46"/>
      <c r="M652" s="6"/>
    </row>
    <row r="653" spans="1:13" ht="18">
      <c r="A653" s="3">
        <v>28</v>
      </c>
      <c r="B653" s="102"/>
      <c r="C653" s="102"/>
      <c r="D653" s="102"/>
      <c r="E653" s="102"/>
      <c r="F653" s="102"/>
      <c r="G653" s="102"/>
      <c r="H653" s="102"/>
      <c r="I653" s="102"/>
      <c r="J653" s="99"/>
      <c r="K653" s="99"/>
      <c r="L653" s="46"/>
      <c r="M653" s="6"/>
    </row>
    <row r="654" spans="1:13">
      <c r="B654" s="102"/>
      <c r="C654" s="102"/>
      <c r="D654" s="102"/>
      <c r="E654" s="102"/>
      <c r="F654" s="102"/>
      <c r="G654" s="102"/>
      <c r="H654" s="102"/>
      <c r="I654" s="102"/>
      <c r="J654" s="99"/>
      <c r="K654" s="99"/>
      <c r="L654" s="46"/>
      <c r="M654" s="6"/>
    </row>
    <row r="655" spans="1:13">
      <c r="B655" s="97"/>
      <c r="C655" s="98"/>
      <c r="D655" s="97"/>
      <c r="E655" s="98"/>
      <c r="F655" s="97"/>
      <c r="G655" s="98"/>
      <c r="H655" s="97"/>
      <c r="I655" s="98"/>
      <c r="J655" s="99"/>
      <c r="K655" s="99"/>
      <c r="L655" s="46"/>
      <c r="M655" s="6"/>
    </row>
    <row r="656" spans="1:13">
      <c r="B656" s="93"/>
      <c r="C656" s="94"/>
      <c r="D656" s="93"/>
      <c r="E656" s="94"/>
      <c r="F656" s="93"/>
      <c r="G656" s="94"/>
      <c r="H656" s="93"/>
      <c r="I656" s="94"/>
      <c r="J656" s="95"/>
      <c r="K656" s="96"/>
      <c r="L656" s="46"/>
      <c r="M656" s="6"/>
    </row>
    <row r="657" spans="1:18">
      <c r="M657" s="6"/>
    </row>
    <row r="658" spans="1:18">
      <c r="B658" s="7" t="str">
        <f>kopsavilkums!$J$2</f>
        <v>Dizšvētku Zolītes finālturnīrs Valkā 2026 (RONDO)</v>
      </c>
    </row>
    <row r="660" spans="1:18">
      <c r="G660" s="41" t="s">
        <v>62</v>
      </c>
      <c r="H660" s="43">
        <f>IF(kopsavilkums!$E$2="","",kopsavilkums!$E$2)</f>
        <v>8</v>
      </c>
    </row>
    <row r="662" spans="1:18" ht="15.75">
      <c r="B662" s="103" t="str">
        <f>IF(N662="","",INDEX(kopsavilkums!$C$6:$C$125,N662))</f>
        <v/>
      </c>
      <c r="C662" s="104"/>
      <c r="D662" s="103" t="str">
        <f>IF(O662="","",INDEX(kopsavilkums!$C$6:$C$125,O662))</f>
        <v/>
      </c>
      <c r="E662" s="104"/>
      <c r="F662" s="103" t="str">
        <f>IF(P662="","",INDEX(kopsavilkums!$C$6:$C$125,P662))</f>
        <v/>
      </c>
      <c r="G662" s="104"/>
      <c r="H662" s="103" t="str">
        <f>IF(Q662="","",INDEX(kopsavilkums!$C$6:$C$125,Q662))</f>
        <v/>
      </c>
      <c r="I662" s="104"/>
      <c r="J662" s="103" t="str">
        <f>IF(R662="","",INDEX(kopsavilkums!$C$6:$C$125,R662))</f>
        <v/>
      </c>
      <c r="K662" s="104"/>
      <c r="N662" t="str">
        <f>IF(1&gt;IF(17&lt;=(INT(kopsavilkums!$V$2/4)-MOD(kopsavilkums!$V$2,4)),4,IF(17&lt;=INT(kopsavilkums!$V$2/4),5,0)),"",IFERROR(MATCH((IF(17&lt;=(INT(kopsavilkums!$V$2/4)-MOD(kopsavilkums!$V$2,4)),(17-1)*4,(INT(kopsavilkums!$V$2/4)-MOD(kopsavilkums!$V$2,4))*4+(17-(INT(kopsavilkums!$V$2/4)-MOD(kopsavilkums!$V$2,4))-1)*5)+1),kopsavilkums!$X$6:$X$125,0),""))</f>
        <v/>
      </c>
      <c r="O662" t="str">
        <f>IF(2&gt;IF(17&lt;=(INT(kopsavilkums!$V$2/4)-MOD(kopsavilkums!$V$2,4)),4,IF(17&lt;=INT(kopsavilkums!$V$2/4),5,0)),"",IFERROR(MATCH((IF(17&lt;=(INT(kopsavilkums!$V$2/4)-MOD(kopsavilkums!$V$2,4)),(17-1)*4,(INT(kopsavilkums!$V$2/4)-MOD(kopsavilkums!$V$2,4))*4+(17-(INT(kopsavilkums!$V$2/4)-MOD(kopsavilkums!$V$2,4))-1)*5)+2),kopsavilkums!$X$6:$X$125,0),""))</f>
        <v/>
      </c>
      <c r="P662" t="str">
        <f>IF(3&gt;IF(17&lt;=(INT(kopsavilkums!$V$2/4)-MOD(kopsavilkums!$V$2,4)),4,IF(17&lt;=INT(kopsavilkums!$V$2/4),5,0)),"",IFERROR(MATCH((IF(17&lt;=(INT(kopsavilkums!$V$2/4)-MOD(kopsavilkums!$V$2,4)),(17-1)*4,(INT(kopsavilkums!$V$2/4)-MOD(kopsavilkums!$V$2,4))*4+(17-(INT(kopsavilkums!$V$2/4)-MOD(kopsavilkums!$V$2,4))-1)*5)+3),kopsavilkums!$X$6:$X$125,0),""))</f>
        <v/>
      </c>
      <c r="Q662" t="str">
        <f>IF(4&gt;IF(17&lt;=(INT(kopsavilkums!$V$2/4)-MOD(kopsavilkums!$V$2,4)),4,IF(17&lt;=INT(kopsavilkums!$V$2/4),5,0)),"",IFERROR(MATCH((IF(17&lt;=(INT(kopsavilkums!$V$2/4)-MOD(kopsavilkums!$V$2,4)),(17-1)*4,(INT(kopsavilkums!$V$2/4)-MOD(kopsavilkums!$V$2,4))*4+(17-(INT(kopsavilkums!$V$2/4)-MOD(kopsavilkums!$V$2,4))-1)*5)+4),kopsavilkums!$X$6:$X$125,0),""))</f>
        <v/>
      </c>
      <c r="R662" t="str">
        <f>IF(5&gt;IF(17&lt;=(INT(kopsavilkums!$V$2/4)-MOD(kopsavilkums!$V$2,4)),4,IF(17&lt;=INT(kopsavilkums!$V$2/4),5,0)),"",IFERROR(MATCH((IF(17&lt;=(INT(kopsavilkums!$V$2/4)-MOD(kopsavilkums!$V$2,4)),(17-1)*4,(INT(kopsavilkums!$V$2/4)-MOD(kopsavilkums!$V$2,4))*4+(17-(INT(kopsavilkums!$V$2/4)-MOD(kopsavilkums!$V$2,4))-1)*5)+5),kopsavilkums!$X$6:$X$125,0),""))</f>
        <v/>
      </c>
    </row>
    <row r="663" spans="1:18" ht="15.75">
      <c r="A663" s="4" t="s">
        <v>63</v>
      </c>
      <c r="B663" s="105" t="str">
        <f>IF(B662="","",17)</f>
        <v/>
      </c>
      <c r="C663" s="105"/>
      <c r="D663" s="105" t="str">
        <f>IF(D662="","",17)</f>
        <v/>
      </c>
      <c r="E663" s="105"/>
      <c r="F663" s="105" t="str">
        <f>IF(F662="","",17)</f>
        <v/>
      </c>
      <c r="G663" s="105"/>
      <c r="H663" s="105" t="str">
        <f>IF(H662="","",17)</f>
        <v/>
      </c>
      <c r="I663" s="105"/>
      <c r="J663" s="105" t="str">
        <f>IF(J662="","",17)</f>
        <v/>
      </c>
      <c r="K663" s="105"/>
    </row>
    <row r="664" spans="1:18" ht="15.75">
      <c r="A664" s="5" t="s">
        <v>64</v>
      </c>
      <c r="B664" s="8" t="str">
        <f>IF(N662="","",INDEX(kopsavilkums!$T$6:$T$125,N662))</f>
        <v/>
      </c>
      <c r="C664" s="8" t="str">
        <f>IF(N662="","",INDEX(kopsavilkums!$U$6:$U$125,N662))</f>
        <v/>
      </c>
      <c r="D664" s="8" t="str">
        <f>IF(O662="","",INDEX(kopsavilkums!$T$6:$T$125,O662))</f>
        <v/>
      </c>
      <c r="E664" s="8" t="str">
        <f>IF(O662="","",INDEX(kopsavilkums!$U$6:$U$125,O662))</f>
        <v/>
      </c>
      <c r="F664" s="8" t="str">
        <f>IF(P662="","",INDEX(kopsavilkums!$T$6:$T$125,P662))</f>
        <v/>
      </c>
      <c r="G664" s="8" t="str">
        <f>IF(P662="","",INDEX(kopsavilkums!$U$6:$U$125,P662))</f>
        <v/>
      </c>
      <c r="H664" s="8" t="str">
        <f>IF(Q662="","",INDEX(kopsavilkums!$T$6:$T$125,Q662))</f>
        <v/>
      </c>
      <c r="I664" s="8" t="str">
        <f>IF(Q662="","",INDEX(kopsavilkums!$U$6:$U$125,Q662))</f>
        <v/>
      </c>
      <c r="J664" s="8" t="str">
        <f>IF(R662="","",INDEX(kopsavilkums!$T$6:$T$125,R662))</f>
        <v/>
      </c>
      <c r="K664" s="8" t="str">
        <f>IF(R662="","",INDEX(kopsavilkums!$U$6:$U$125,R662))</f>
        <v/>
      </c>
    </row>
    <row r="665" spans="1:18">
      <c r="L665" s="17" t="s">
        <v>66</v>
      </c>
      <c r="M665" s="18"/>
    </row>
    <row r="666" spans="1:18">
      <c r="M666" s="2"/>
    </row>
    <row r="667" spans="1:18" ht="18">
      <c r="A667" s="3">
        <v>1</v>
      </c>
      <c r="B667" s="102"/>
      <c r="C667" s="102"/>
      <c r="D667" s="102"/>
      <c r="E667" s="102"/>
      <c r="F667" s="102"/>
      <c r="G667" s="102"/>
      <c r="H667" s="102"/>
      <c r="I667" s="102"/>
      <c r="J667" s="99"/>
      <c r="K667" s="99"/>
      <c r="L667" s="46"/>
      <c r="M667" s="6"/>
    </row>
    <row r="668" spans="1:18" ht="18">
      <c r="A668" s="3">
        <v>2</v>
      </c>
      <c r="B668" s="102"/>
      <c r="C668" s="102"/>
      <c r="D668" s="102"/>
      <c r="E668" s="102"/>
      <c r="F668" s="102"/>
      <c r="G668" s="102"/>
      <c r="H668" s="102"/>
      <c r="I668" s="102"/>
      <c r="J668" s="99"/>
      <c r="K668" s="99"/>
      <c r="L668" s="46"/>
      <c r="M668" s="6"/>
    </row>
    <row r="669" spans="1:18" ht="18">
      <c r="A669" s="3">
        <v>3</v>
      </c>
      <c r="B669" s="102"/>
      <c r="C669" s="102"/>
      <c r="D669" s="102"/>
      <c r="E669" s="102"/>
      <c r="F669" s="102"/>
      <c r="G669" s="102"/>
      <c r="H669" s="102"/>
      <c r="I669" s="102"/>
      <c r="J669" s="99"/>
      <c r="K669" s="99"/>
      <c r="L669" s="46"/>
      <c r="M669" s="6"/>
    </row>
    <row r="670" spans="1:18" ht="18">
      <c r="A670" s="3">
        <v>4</v>
      </c>
      <c r="B670" s="102"/>
      <c r="C670" s="102"/>
      <c r="D670" s="102"/>
      <c r="E670" s="102"/>
      <c r="F670" s="102"/>
      <c r="G670" s="102"/>
      <c r="H670" s="102"/>
      <c r="I670" s="102"/>
      <c r="J670" s="99"/>
      <c r="K670" s="99"/>
      <c r="L670" s="46"/>
      <c r="M670" s="6"/>
    </row>
    <row r="671" spans="1:18" ht="18">
      <c r="A671" s="3">
        <v>5</v>
      </c>
      <c r="B671" s="102"/>
      <c r="C671" s="102"/>
      <c r="D671" s="102"/>
      <c r="E671" s="102"/>
      <c r="F671" s="102"/>
      <c r="G671" s="102"/>
      <c r="H671" s="102"/>
      <c r="I671" s="102"/>
      <c r="J671" s="99"/>
      <c r="K671" s="99"/>
      <c r="L671" s="46"/>
      <c r="M671" s="6"/>
    </row>
    <row r="672" spans="1:18" ht="18">
      <c r="A672" s="3">
        <v>6</v>
      </c>
      <c r="B672" s="102"/>
      <c r="C672" s="102"/>
      <c r="D672" s="102"/>
      <c r="E672" s="102"/>
      <c r="F672" s="102"/>
      <c r="G672" s="102"/>
      <c r="H672" s="102"/>
      <c r="I672" s="102"/>
      <c r="J672" s="99"/>
      <c r="K672" s="99"/>
      <c r="L672" s="46"/>
      <c r="M672" s="6"/>
    </row>
    <row r="673" spans="1:13" ht="18">
      <c r="A673" s="3">
        <v>7</v>
      </c>
      <c r="B673" s="102"/>
      <c r="C673" s="102"/>
      <c r="D673" s="102"/>
      <c r="E673" s="102"/>
      <c r="F673" s="102"/>
      <c r="G673" s="102"/>
      <c r="H673" s="102"/>
      <c r="I673" s="102"/>
      <c r="J673" s="99"/>
      <c r="K673" s="99"/>
      <c r="L673" s="46"/>
      <c r="M673" s="6"/>
    </row>
    <row r="674" spans="1:13" ht="18">
      <c r="A674" s="3">
        <v>8</v>
      </c>
      <c r="B674" s="102"/>
      <c r="C674" s="102"/>
      <c r="D674" s="102"/>
      <c r="E674" s="102"/>
      <c r="F674" s="102"/>
      <c r="G674" s="102"/>
      <c r="H674" s="102"/>
      <c r="I674" s="102"/>
      <c r="J674" s="99"/>
      <c r="K674" s="99"/>
      <c r="L674" s="46"/>
      <c r="M674" s="6"/>
    </row>
    <row r="675" spans="1:13" ht="18">
      <c r="A675" s="3">
        <v>9</v>
      </c>
      <c r="B675" s="102"/>
      <c r="C675" s="102"/>
      <c r="D675" s="102"/>
      <c r="E675" s="102"/>
      <c r="F675" s="102"/>
      <c r="G675" s="102"/>
      <c r="H675" s="102"/>
      <c r="I675" s="102"/>
      <c r="J675" s="99"/>
      <c r="K675" s="99"/>
      <c r="L675" s="46"/>
      <c r="M675" s="6"/>
    </row>
    <row r="676" spans="1:13" ht="18">
      <c r="A676" s="3">
        <v>10</v>
      </c>
      <c r="B676" s="102"/>
      <c r="C676" s="102"/>
      <c r="D676" s="102"/>
      <c r="E676" s="102"/>
      <c r="F676" s="102"/>
      <c r="G676" s="102"/>
      <c r="H676" s="102"/>
      <c r="I676" s="102"/>
      <c r="J676" s="99"/>
      <c r="K676" s="99"/>
      <c r="L676" s="46"/>
      <c r="M676" s="6"/>
    </row>
    <row r="677" spans="1:13" ht="18">
      <c r="A677" s="3">
        <v>11</v>
      </c>
      <c r="B677" s="102"/>
      <c r="C677" s="102"/>
      <c r="D677" s="102"/>
      <c r="E677" s="102"/>
      <c r="F677" s="102"/>
      <c r="G677" s="102"/>
      <c r="H677" s="102"/>
      <c r="I677" s="102"/>
      <c r="J677" s="99"/>
      <c r="K677" s="99"/>
      <c r="L677" s="46"/>
      <c r="M677" s="6"/>
    </row>
    <row r="678" spans="1:13" ht="18">
      <c r="A678" s="3">
        <v>12</v>
      </c>
      <c r="B678" s="102"/>
      <c r="C678" s="102"/>
      <c r="D678" s="102"/>
      <c r="E678" s="102"/>
      <c r="F678" s="102"/>
      <c r="G678" s="102"/>
      <c r="H678" s="102"/>
      <c r="I678" s="102"/>
      <c r="J678" s="99"/>
      <c r="K678" s="99"/>
      <c r="L678" s="46"/>
      <c r="M678" s="6"/>
    </row>
    <row r="679" spans="1:13" ht="18">
      <c r="A679" s="3">
        <v>13</v>
      </c>
      <c r="B679" s="102"/>
      <c r="C679" s="102"/>
      <c r="D679" s="102"/>
      <c r="E679" s="102"/>
      <c r="F679" s="102"/>
      <c r="G679" s="102"/>
      <c r="H679" s="102"/>
      <c r="I679" s="102"/>
      <c r="J679" s="99"/>
      <c r="K679" s="99"/>
      <c r="L679" s="46"/>
      <c r="M679" s="6"/>
    </row>
    <row r="680" spans="1:13" ht="18">
      <c r="A680" s="3">
        <v>14</v>
      </c>
      <c r="B680" s="102"/>
      <c r="C680" s="102"/>
      <c r="D680" s="102"/>
      <c r="E680" s="102"/>
      <c r="F680" s="102"/>
      <c r="G680" s="102"/>
      <c r="H680" s="102"/>
      <c r="I680" s="102"/>
      <c r="J680" s="99"/>
      <c r="K680" s="99"/>
      <c r="L680" s="46"/>
      <c r="M680" s="6"/>
    </row>
    <row r="681" spans="1:13" ht="18">
      <c r="A681" s="3">
        <v>15</v>
      </c>
      <c r="B681" s="102"/>
      <c r="C681" s="102"/>
      <c r="D681" s="102"/>
      <c r="E681" s="102"/>
      <c r="F681" s="102"/>
      <c r="G681" s="102"/>
      <c r="H681" s="102"/>
      <c r="I681" s="102"/>
      <c r="J681" s="99"/>
      <c r="K681" s="99"/>
      <c r="L681" s="46"/>
      <c r="M681" s="6"/>
    </row>
    <row r="682" spans="1:13" ht="18">
      <c r="A682" s="3">
        <v>16</v>
      </c>
      <c r="B682" s="102"/>
      <c r="C682" s="102"/>
      <c r="D682" s="102"/>
      <c r="E682" s="102"/>
      <c r="F682" s="102"/>
      <c r="G682" s="102"/>
      <c r="H682" s="102"/>
      <c r="I682" s="102"/>
      <c r="J682" s="99"/>
      <c r="K682" s="99"/>
      <c r="L682" s="46"/>
      <c r="M682" s="6"/>
    </row>
    <row r="683" spans="1:13" ht="18">
      <c r="A683" s="3">
        <v>17</v>
      </c>
      <c r="B683" s="102"/>
      <c r="C683" s="102"/>
      <c r="D683" s="102"/>
      <c r="E683" s="102"/>
      <c r="F683" s="102"/>
      <c r="G683" s="102"/>
      <c r="H683" s="102"/>
      <c r="I683" s="102"/>
      <c r="J683" s="99"/>
      <c r="K683" s="99"/>
      <c r="L683" s="46"/>
      <c r="M683" s="6"/>
    </row>
    <row r="684" spans="1:13" ht="18">
      <c r="A684" s="3">
        <v>18</v>
      </c>
      <c r="B684" s="102"/>
      <c r="C684" s="102"/>
      <c r="D684" s="102"/>
      <c r="E684" s="102"/>
      <c r="F684" s="102"/>
      <c r="G684" s="102"/>
      <c r="H684" s="102"/>
      <c r="I684" s="102"/>
      <c r="J684" s="99"/>
      <c r="K684" s="99"/>
      <c r="L684" s="46"/>
      <c r="M684" s="6"/>
    </row>
    <row r="685" spans="1:13" ht="18">
      <c r="A685" s="3">
        <v>19</v>
      </c>
      <c r="B685" s="102"/>
      <c r="C685" s="102"/>
      <c r="D685" s="102"/>
      <c r="E685" s="102"/>
      <c r="F685" s="102"/>
      <c r="G685" s="102"/>
      <c r="H685" s="102"/>
      <c r="I685" s="102"/>
      <c r="J685" s="99"/>
      <c r="K685" s="99"/>
      <c r="L685" s="46"/>
      <c r="M685" s="6"/>
    </row>
    <row r="686" spans="1:13" ht="18">
      <c r="A686" s="3">
        <v>20</v>
      </c>
      <c r="B686" s="102"/>
      <c r="C686" s="102"/>
      <c r="D686" s="102"/>
      <c r="E686" s="102"/>
      <c r="F686" s="102"/>
      <c r="G686" s="102"/>
      <c r="H686" s="102"/>
      <c r="I686" s="102"/>
      <c r="J686" s="99"/>
      <c r="K686" s="99"/>
      <c r="L686" s="46"/>
      <c r="M686" s="6"/>
    </row>
    <row r="687" spans="1:13" ht="18">
      <c r="A687" s="3">
        <v>21</v>
      </c>
      <c r="B687" s="102"/>
      <c r="C687" s="102"/>
      <c r="D687" s="102"/>
      <c r="E687" s="102"/>
      <c r="F687" s="102"/>
      <c r="G687" s="102"/>
      <c r="H687" s="102"/>
      <c r="I687" s="102"/>
      <c r="J687" s="99"/>
      <c r="K687" s="99"/>
      <c r="L687" s="46"/>
      <c r="M687" s="6"/>
    </row>
    <row r="688" spans="1:13" ht="18">
      <c r="A688" s="3">
        <v>22</v>
      </c>
      <c r="B688" s="102"/>
      <c r="C688" s="102"/>
      <c r="D688" s="102"/>
      <c r="E688" s="102"/>
      <c r="F688" s="102"/>
      <c r="G688" s="102"/>
      <c r="H688" s="102"/>
      <c r="I688" s="102"/>
      <c r="J688" s="99"/>
      <c r="K688" s="99"/>
      <c r="L688" s="46"/>
      <c r="M688" s="6"/>
    </row>
    <row r="689" spans="1:18" ht="18">
      <c r="A689" s="3">
        <v>23</v>
      </c>
      <c r="B689" s="102"/>
      <c r="C689" s="102"/>
      <c r="D689" s="102"/>
      <c r="E689" s="102"/>
      <c r="F689" s="102"/>
      <c r="G689" s="102"/>
      <c r="H689" s="102"/>
      <c r="I689" s="102"/>
      <c r="J689" s="99"/>
      <c r="K689" s="99"/>
      <c r="L689" s="46"/>
      <c r="M689" s="6"/>
    </row>
    <row r="690" spans="1:18" ht="18">
      <c r="A690" s="3">
        <v>24</v>
      </c>
      <c r="B690" s="102"/>
      <c r="C690" s="102"/>
      <c r="D690" s="102"/>
      <c r="E690" s="102"/>
      <c r="F690" s="102"/>
      <c r="G690" s="102"/>
      <c r="H690" s="102"/>
      <c r="I690" s="102"/>
      <c r="J690" s="99"/>
      <c r="K690" s="99"/>
      <c r="L690" s="46"/>
      <c r="M690" s="6"/>
    </row>
    <row r="691" spans="1:18" ht="18">
      <c r="A691" s="3">
        <v>25</v>
      </c>
      <c r="B691" s="102"/>
      <c r="C691" s="102"/>
      <c r="D691" s="102"/>
      <c r="E691" s="102"/>
      <c r="F691" s="102"/>
      <c r="G691" s="102"/>
      <c r="H691" s="102"/>
      <c r="I691" s="102"/>
      <c r="J691" s="99"/>
      <c r="K691" s="99"/>
      <c r="L691" s="46"/>
      <c r="M691" s="6"/>
    </row>
    <row r="692" spans="1:18" ht="18">
      <c r="A692" s="3">
        <v>26</v>
      </c>
      <c r="B692" s="102"/>
      <c r="C692" s="102"/>
      <c r="D692" s="102"/>
      <c r="E692" s="102"/>
      <c r="F692" s="102"/>
      <c r="G692" s="102"/>
      <c r="H692" s="102"/>
      <c r="I692" s="102"/>
      <c r="J692" s="99"/>
      <c r="K692" s="99"/>
      <c r="L692" s="46"/>
      <c r="M692" s="6"/>
    </row>
    <row r="693" spans="1:18" ht="18">
      <c r="A693" s="3">
        <v>27</v>
      </c>
      <c r="B693" s="102"/>
      <c r="C693" s="102"/>
      <c r="D693" s="102"/>
      <c r="E693" s="102"/>
      <c r="F693" s="102"/>
      <c r="G693" s="102"/>
      <c r="H693" s="102"/>
      <c r="I693" s="102"/>
      <c r="J693" s="99"/>
      <c r="K693" s="99"/>
      <c r="L693" s="46"/>
      <c r="M693" s="6"/>
    </row>
    <row r="694" spans="1:18" ht="18">
      <c r="A694" s="3">
        <v>28</v>
      </c>
      <c r="B694" s="102"/>
      <c r="C694" s="102"/>
      <c r="D694" s="102"/>
      <c r="E694" s="102"/>
      <c r="F694" s="102"/>
      <c r="G694" s="102"/>
      <c r="H694" s="102"/>
      <c r="I694" s="102"/>
      <c r="J694" s="99"/>
      <c r="K694" s="99"/>
      <c r="L694" s="46"/>
      <c r="M694" s="6"/>
    </row>
    <row r="695" spans="1:18">
      <c r="B695" s="102"/>
      <c r="C695" s="102"/>
      <c r="D695" s="102"/>
      <c r="E695" s="102"/>
      <c r="F695" s="102"/>
      <c r="G695" s="102"/>
      <c r="H695" s="102"/>
      <c r="I695" s="102"/>
      <c r="J695" s="99"/>
      <c r="K695" s="99"/>
      <c r="L695" s="46"/>
      <c r="M695" s="6"/>
    </row>
    <row r="696" spans="1:18">
      <c r="B696" s="97"/>
      <c r="C696" s="98"/>
      <c r="D696" s="97"/>
      <c r="E696" s="98"/>
      <c r="F696" s="97"/>
      <c r="G696" s="98"/>
      <c r="H696" s="97"/>
      <c r="I696" s="98"/>
      <c r="J696" s="99"/>
      <c r="K696" s="99"/>
      <c r="L696" s="46"/>
      <c r="M696" s="6"/>
    </row>
    <row r="697" spans="1:18">
      <c r="B697" s="93"/>
      <c r="C697" s="94"/>
      <c r="D697" s="93"/>
      <c r="E697" s="94"/>
      <c r="F697" s="93"/>
      <c r="G697" s="94"/>
      <c r="H697" s="93"/>
      <c r="I697" s="94"/>
      <c r="J697" s="95"/>
      <c r="K697" s="96"/>
      <c r="L697" s="46"/>
      <c r="M697" s="6"/>
    </row>
    <row r="698" spans="1:18">
      <c r="M698" s="6"/>
    </row>
    <row r="699" spans="1:18">
      <c r="B699" s="7" t="str">
        <f>kopsavilkums!$J$2</f>
        <v>Dizšvētku Zolītes finālturnīrs Valkā 2026 (RONDO)</v>
      </c>
    </row>
    <row r="701" spans="1:18">
      <c r="G701" s="41" t="s">
        <v>62</v>
      </c>
      <c r="H701" s="43">
        <f>IF(kopsavilkums!$E$2="","",kopsavilkums!$E$2)</f>
        <v>8</v>
      </c>
    </row>
    <row r="703" spans="1:18" ht="15.75">
      <c r="B703" s="103" t="str">
        <f>IF(N703="","",INDEX(kopsavilkums!$C$6:$C$125,N703))</f>
        <v/>
      </c>
      <c r="C703" s="104"/>
      <c r="D703" s="103" t="str">
        <f>IF(O703="","",INDEX(kopsavilkums!$C$6:$C$125,O703))</f>
        <v/>
      </c>
      <c r="E703" s="104"/>
      <c r="F703" s="103" t="str">
        <f>IF(P703="","",INDEX(kopsavilkums!$C$6:$C$125,P703))</f>
        <v/>
      </c>
      <c r="G703" s="104"/>
      <c r="H703" s="103" t="str">
        <f>IF(Q703="","",INDEX(kopsavilkums!$C$6:$C$125,Q703))</f>
        <v/>
      </c>
      <c r="I703" s="104"/>
      <c r="J703" s="103" t="str">
        <f>IF(R703="","",INDEX(kopsavilkums!$C$6:$C$125,R703))</f>
        <v/>
      </c>
      <c r="K703" s="104"/>
      <c r="N703" t="str">
        <f>IF(1&gt;IF(18&lt;=(INT(kopsavilkums!$V$2/4)-MOD(kopsavilkums!$V$2,4)),4,IF(18&lt;=INT(kopsavilkums!$V$2/4),5,0)),"",IFERROR(MATCH((IF(18&lt;=(INT(kopsavilkums!$V$2/4)-MOD(kopsavilkums!$V$2,4)),(18-1)*4,(INT(kopsavilkums!$V$2/4)-MOD(kopsavilkums!$V$2,4))*4+(18-(INT(kopsavilkums!$V$2/4)-MOD(kopsavilkums!$V$2,4))-1)*5)+1),kopsavilkums!$X$6:$X$125,0),""))</f>
        <v/>
      </c>
      <c r="O703" t="str">
        <f>IF(2&gt;IF(18&lt;=(INT(kopsavilkums!$V$2/4)-MOD(kopsavilkums!$V$2,4)),4,IF(18&lt;=INT(kopsavilkums!$V$2/4),5,0)),"",IFERROR(MATCH((IF(18&lt;=(INT(kopsavilkums!$V$2/4)-MOD(kopsavilkums!$V$2,4)),(18-1)*4,(INT(kopsavilkums!$V$2/4)-MOD(kopsavilkums!$V$2,4))*4+(18-(INT(kopsavilkums!$V$2/4)-MOD(kopsavilkums!$V$2,4))-1)*5)+2),kopsavilkums!$X$6:$X$125,0),""))</f>
        <v/>
      </c>
      <c r="P703" t="str">
        <f>IF(3&gt;IF(18&lt;=(INT(kopsavilkums!$V$2/4)-MOD(kopsavilkums!$V$2,4)),4,IF(18&lt;=INT(kopsavilkums!$V$2/4),5,0)),"",IFERROR(MATCH((IF(18&lt;=(INT(kopsavilkums!$V$2/4)-MOD(kopsavilkums!$V$2,4)),(18-1)*4,(INT(kopsavilkums!$V$2/4)-MOD(kopsavilkums!$V$2,4))*4+(18-(INT(kopsavilkums!$V$2/4)-MOD(kopsavilkums!$V$2,4))-1)*5)+3),kopsavilkums!$X$6:$X$125,0),""))</f>
        <v/>
      </c>
      <c r="Q703" t="str">
        <f>IF(4&gt;IF(18&lt;=(INT(kopsavilkums!$V$2/4)-MOD(kopsavilkums!$V$2,4)),4,IF(18&lt;=INT(kopsavilkums!$V$2/4),5,0)),"",IFERROR(MATCH((IF(18&lt;=(INT(kopsavilkums!$V$2/4)-MOD(kopsavilkums!$V$2,4)),(18-1)*4,(INT(kopsavilkums!$V$2/4)-MOD(kopsavilkums!$V$2,4))*4+(18-(INT(kopsavilkums!$V$2/4)-MOD(kopsavilkums!$V$2,4))-1)*5)+4),kopsavilkums!$X$6:$X$125,0),""))</f>
        <v/>
      </c>
      <c r="R703" t="str">
        <f>IF(5&gt;IF(18&lt;=(INT(kopsavilkums!$V$2/4)-MOD(kopsavilkums!$V$2,4)),4,IF(18&lt;=INT(kopsavilkums!$V$2/4),5,0)),"",IFERROR(MATCH((IF(18&lt;=(INT(kopsavilkums!$V$2/4)-MOD(kopsavilkums!$V$2,4)),(18-1)*4,(INT(kopsavilkums!$V$2/4)-MOD(kopsavilkums!$V$2,4))*4+(18-(INT(kopsavilkums!$V$2/4)-MOD(kopsavilkums!$V$2,4))-1)*5)+5),kopsavilkums!$X$6:$X$125,0),""))</f>
        <v/>
      </c>
    </row>
    <row r="704" spans="1:18" ht="15.75">
      <c r="A704" s="4" t="s">
        <v>63</v>
      </c>
      <c r="B704" s="105" t="str">
        <f>IF(B703="","",18)</f>
        <v/>
      </c>
      <c r="C704" s="105"/>
      <c r="D704" s="105" t="str">
        <f>IF(D703="","",18)</f>
        <v/>
      </c>
      <c r="E704" s="105"/>
      <c r="F704" s="105" t="str">
        <f>IF(F703="","",18)</f>
        <v/>
      </c>
      <c r="G704" s="105"/>
      <c r="H704" s="105" t="str">
        <f>IF(H703="","",18)</f>
        <v/>
      </c>
      <c r="I704" s="105"/>
      <c r="J704" s="105" t="str">
        <f>IF(J703="","",18)</f>
        <v/>
      </c>
      <c r="K704" s="105"/>
    </row>
    <row r="705" spans="1:13" ht="15.75">
      <c r="A705" s="5" t="s">
        <v>64</v>
      </c>
      <c r="B705" s="8" t="str">
        <f>IF(N703="","",INDEX(kopsavilkums!$T$6:$T$125,N703))</f>
        <v/>
      </c>
      <c r="C705" s="8" t="str">
        <f>IF(N703="","",INDEX(kopsavilkums!$U$6:$U$125,N703))</f>
        <v/>
      </c>
      <c r="D705" s="8" t="str">
        <f>IF(O703="","",INDEX(kopsavilkums!$T$6:$T$125,O703))</f>
        <v/>
      </c>
      <c r="E705" s="8" t="str">
        <f>IF(O703="","",INDEX(kopsavilkums!$U$6:$U$125,O703))</f>
        <v/>
      </c>
      <c r="F705" s="8" t="str">
        <f>IF(P703="","",INDEX(kopsavilkums!$T$6:$T$125,P703))</f>
        <v/>
      </c>
      <c r="G705" s="8" t="str">
        <f>IF(P703="","",INDEX(kopsavilkums!$U$6:$U$125,P703))</f>
        <v/>
      </c>
      <c r="H705" s="8" t="str">
        <f>IF(Q703="","",INDEX(kopsavilkums!$T$6:$T$125,Q703))</f>
        <v/>
      </c>
      <c r="I705" s="8" t="str">
        <f>IF(Q703="","",INDEX(kopsavilkums!$U$6:$U$125,Q703))</f>
        <v/>
      </c>
      <c r="J705" s="8" t="str">
        <f>IF(R703="","",INDEX(kopsavilkums!$T$6:$T$125,R703))</f>
        <v/>
      </c>
      <c r="K705" s="8" t="str">
        <f>IF(R703="","",INDEX(kopsavilkums!$U$6:$U$125,R703))</f>
        <v/>
      </c>
    </row>
    <row r="706" spans="1:13">
      <c r="L706" s="17" t="s">
        <v>66</v>
      </c>
      <c r="M706" s="18"/>
    </row>
    <row r="707" spans="1:13">
      <c r="M707" s="2"/>
    </row>
    <row r="708" spans="1:13" ht="18">
      <c r="A708" s="3">
        <v>1</v>
      </c>
      <c r="B708" s="102"/>
      <c r="C708" s="102"/>
      <c r="D708" s="102"/>
      <c r="E708" s="102"/>
      <c r="F708" s="102"/>
      <c r="G708" s="102"/>
      <c r="H708" s="102"/>
      <c r="I708" s="102"/>
      <c r="J708" s="99"/>
      <c r="K708" s="99"/>
      <c r="L708" s="46"/>
      <c r="M708" s="6"/>
    </row>
    <row r="709" spans="1:13" ht="18">
      <c r="A709" s="3">
        <v>2</v>
      </c>
      <c r="B709" s="102"/>
      <c r="C709" s="102"/>
      <c r="D709" s="102"/>
      <c r="E709" s="102"/>
      <c r="F709" s="102"/>
      <c r="G709" s="102"/>
      <c r="H709" s="102"/>
      <c r="I709" s="102"/>
      <c r="J709" s="99"/>
      <c r="K709" s="99"/>
      <c r="L709" s="46"/>
      <c r="M709" s="6"/>
    </row>
    <row r="710" spans="1:13" ht="18">
      <c r="A710" s="3">
        <v>3</v>
      </c>
      <c r="B710" s="102"/>
      <c r="C710" s="102"/>
      <c r="D710" s="102"/>
      <c r="E710" s="102"/>
      <c r="F710" s="102"/>
      <c r="G710" s="102"/>
      <c r="H710" s="102"/>
      <c r="I710" s="102"/>
      <c r="J710" s="99"/>
      <c r="K710" s="99"/>
      <c r="L710" s="46"/>
      <c r="M710" s="6"/>
    </row>
    <row r="711" spans="1:13" ht="18">
      <c r="A711" s="3">
        <v>4</v>
      </c>
      <c r="B711" s="102"/>
      <c r="C711" s="102"/>
      <c r="D711" s="102"/>
      <c r="E711" s="102"/>
      <c r="F711" s="102"/>
      <c r="G711" s="102"/>
      <c r="H711" s="102"/>
      <c r="I711" s="102"/>
      <c r="J711" s="99"/>
      <c r="K711" s="99"/>
      <c r="L711" s="46"/>
      <c r="M711" s="6"/>
    </row>
    <row r="712" spans="1:13" ht="18">
      <c r="A712" s="3">
        <v>5</v>
      </c>
      <c r="B712" s="102"/>
      <c r="C712" s="102"/>
      <c r="D712" s="102"/>
      <c r="E712" s="102"/>
      <c r="F712" s="102"/>
      <c r="G712" s="102"/>
      <c r="H712" s="102"/>
      <c r="I712" s="102"/>
      <c r="J712" s="99"/>
      <c r="K712" s="99"/>
      <c r="L712" s="46"/>
      <c r="M712" s="6"/>
    </row>
    <row r="713" spans="1:13" ht="18">
      <c r="A713" s="3">
        <v>6</v>
      </c>
      <c r="B713" s="102"/>
      <c r="C713" s="102"/>
      <c r="D713" s="102"/>
      <c r="E713" s="102"/>
      <c r="F713" s="102"/>
      <c r="G713" s="102"/>
      <c r="H713" s="102"/>
      <c r="I713" s="102"/>
      <c r="J713" s="99"/>
      <c r="K713" s="99"/>
      <c r="L713" s="46"/>
      <c r="M713" s="6"/>
    </row>
    <row r="714" spans="1:13" ht="18">
      <c r="A714" s="3">
        <v>7</v>
      </c>
      <c r="B714" s="102"/>
      <c r="C714" s="102"/>
      <c r="D714" s="102"/>
      <c r="E714" s="102"/>
      <c r="F714" s="102"/>
      <c r="G714" s="102"/>
      <c r="H714" s="102"/>
      <c r="I714" s="102"/>
      <c r="J714" s="99"/>
      <c r="K714" s="99"/>
      <c r="L714" s="46"/>
      <c r="M714" s="6"/>
    </row>
    <row r="715" spans="1:13" ht="18">
      <c r="A715" s="3">
        <v>8</v>
      </c>
      <c r="B715" s="102"/>
      <c r="C715" s="102"/>
      <c r="D715" s="102"/>
      <c r="E715" s="102"/>
      <c r="F715" s="102"/>
      <c r="G715" s="102"/>
      <c r="H715" s="102"/>
      <c r="I715" s="102"/>
      <c r="J715" s="99"/>
      <c r="K715" s="99"/>
      <c r="L715" s="46"/>
      <c r="M715" s="6"/>
    </row>
    <row r="716" spans="1:13" ht="18">
      <c r="A716" s="3">
        <v>9</v>
      </c>
      <c r="B716" s="102"/>
      <c r="C716" s="102"/>
      <c r="D716" s="102"/>
      <c r="E716" s="102"/>
      <c r="F716" s="102"/>
      <c r="G716" s="102"/>
      <c r="H716" s="102"/>
      <c r="I716" s="102"/>
      <c r="J716" s="99"/>
      <c r="K716" s="99"/>
      <c r="L716" s="46"/>
      <c r="M716" s="6"/>
    </row>
    <row r="717" spans="1:13" ht="18">
      <c r="A717" s="3">
        <v>10</v>
      </c>
      <c r="B717" s="102"/>
      <c r="C717" s="102"/>
      <c r="D717" s="102"/>
      <c r="E717" s="102"/>
      <c r="F717" s="102"/>
      <c r="G717" s="102"/>
      <c r="H717" s="102"/>
      <c r="I717" s="102"/>
      <c r="J717" s="99"/>
      <c r="K717" s="99"/>
      <c r="L717" s="46"/>
      <c r="M717" s="6"/>
    </row>
    <row r="718" spans="1:13" ht="18">
      <c r="A718" s="3">
        <v>11</v>
      </c>
      <c r="B718" s="102"/>
      <c r="C718" s="102"/>
      <c r="D718" s="102"/>
      <c r="E718" s="102"/>
      <c r="F718" s="102"/>
      <c r="G718" s="102"/>
      <c r="H718" s="102"/>
      <c r="I718" s="102"/>
      <c r="J718" s="99"/>
      <c r="K718" s="99"/>
      <c r="L718" s="46"/>
      <c r="M718" s="6"/>
    </row>
    <row r="719" spans="1:13" ht="18">
      <c r="A719" s="3">
        <v>12</v>
      </c>
      <c r="B719" s="102"/>
      <c r="C719" s="102"/>
      <c r="D719" s="102"/>
      <c r="E719" s="102"/>
      <c r="F719" s="102"/>
      <c r="G719" s="102"/>
      <c r="H719" s="102"/>
      <c r="I719" s="102"/>
      <c r="J719" s="99"/>
      <c r="K719" s="99"/>
      <c r="L719" s="46"/>
      <c r="M719" s="6"/>
    </row>
    <row r="720" spans="1:13" ht="18">
      <c r="A720" s="3">
        <v>13</v>
      </c>
      <c r="B720" s="102"/>
      <c r="C720" s="102"/>
      <c r="D720" s="102"/>
      <c r="E720" s="102"/>
      <c r="F720" s="102"/>
      <c r="G720" s="102"/>
      <c r="H720" s="102"/>
      <c r="I720" s="102"/>
      <c r="J720" s="99"/>
      <c r="K720" s="99"/>
      <c r="L720" s="46"/>
      <c r="M720" s="6"/>
    </row>
    <row r="721" spans="1:13" ht="18">
      <c r="A721" s="3">
        <v>14</v>
      </c>
      <c r="B721" s="102"/>
      <c r="C721" s="102"/>
      <c r="D721" s="102"/>
      <c r="E721" s="102"/>
      <c r="F721" s="102"/>
      <c r="G721" s="102"/>
      <c r="H721" s="102"/>
      <c r="I721" s="102"/>
      <c r="J721" s="99"/>
      <c r="K721" s="99"/>
      <c r="L721" s="46"/>
      <c r="M721" s="6"/>
    </row>
    <row r="722" spans="1:13" ht="18">
      <c r="A722" s="3">
        <v>15</v>
      </c>
      <c r="B722" s="102"/>
      <c r="C722" s="102"/>
      <c r="D722" s="102"/>
      <c r="E722" s="102"/>
      <c r="F722" s="102"/>
      <c r="G722" s="102"/>
      <c r="H722" s="102"/>
      <c r="I722" s="102"/>
      <c r="J722" s="99"/>
      <c r="K722" s="99"/>
      <c r="L722" s="46"/>
      <c r="M722" s="6"/>
    </row>
    <row r="723" spans="1:13" ht="18">
      <c r="A723" s="3">
        <v>16</v>
      </c>
      <c r="B723" s="102"/>
      <c r="C723" s="102"/>
      <c r="D723" s="102"/>
      <c r="E723" s="102"/>
      <c r="F723" s="102"/>
      <c r="G723" s="102"/>
      <c r="H723" s="102"/>
      <c r="I723" s="102"/>
      <c r="J723" s="99"/>
      <c r="K723" s="99"/>
      <c r="L723" s="46"/>
      <c r="M723" s="6"/>
    </row>
    <row r="724" spans="1:13" ht="18">
      <c r="A724" s="3">
        <v>17</v>
      </c>
      <c r="B724" s="102"/>
      <c r="C724" s="102"/>
      <c r="D724" s="102"/>
      <c r="E724" s="102"/>
      <c r="F724" s="102"/>
      <c r="G724" s="102"/>
      <c r="H724" s="102"/>
      <c r="I724" s="102"/>
      <c r="J724" s="99"/>
      <c r="K724" s="99"/>
      <c r="L724" s="46"/>
      <c r="M724" s="6"/>
    </row>
    <row r="725" spans="1:13" ht="18">
      <c r="A725" s="3">
        <v>18</v>
      </c>
      <c r="B725" s="102"/>
      <c r="C725" s="102"/>
      <c r="D725" s="102"/>
      <c r="E725" s="102"/>
      <c r="F725" s="102"/>
      <c r="G725" s="102"/>
      <c r="H725" s="102"/>
      <c r="I725" s="102"/>
      <c r="J725" s="99"/>
      <c r="K725" s="99"/>
      <c r="L725" s="46"/>
      <c r="M725" s="6"/>
    </row>
    <row r="726" spans="1:13" ht="18">
      <c r="A726" s="3">
        <v>19</v>
      </c>
      <c r="B726" s="102"/>
      <c r="C726" s="102"/>
      <c r="D726" s="102"/>
      <c r="E726" s="102"/>
      <c r="F726" s="102"/>
      <c r="G726" s="102"/>
      <c r="H726" s="102"/>
      <c r="I726" s="102"/>
      <c r="J726" s="99"/>
      <c r="K726" s="99"/>
      <c r="L726" s="46"/>
      <c r="M726" s="6"/>
    </row>
    <row r="727" spans="1:13" ht="18">
      <c r="A727" s="3">
        <v>20</v>
      </c>
      <c r="B727" s="102"/>
      <c r="C727" s="102"/>
      <c r="D727" s="102"/>
      <c r="E727" s="102"/>
      <c r="F727" s="102"/>
      <c r="G727" s="102"/>
      <c r="H727" s="102"/>
      <c r="I727" s="102"/>
      <c r="J727" s="99"/>
      <c r="K727" s="99"/>
      <c r="L727" s="46"/>
      <c r="M727" s="6"/>
    </row>
    <row r="728" spans="1:13" ht="18">
      <c r="A728" s="3">
        <v>21</v>
      </c>
      <c r="B728" s="102"/>
      <c r="C728" s="102"/>
      <c r="D728" s="102"/>
      <c r="E728" s="102"/>
      <c r="F728" s="102"/>
      <c r="G728" s="102"/>
      <c r="H728" s="102"/>
      <c r="I728" s="102"/>
      <c r="J728" s="99"/>
      <c r="K728" s="99"/>
      <c r="L728" s="46"/>
      <c r="M728" s="6"/>
    </row>
    <row r="729" spans="1:13" ht="18">
      <c r="A729" s="3">
        <v>22</v>
      </c>
      <c r="B729" s="102"/>
      <c r="C729" s="102"/>
      <c r="D729" s="102"/>
      <c r="E729" s="102"/>
      <c r="F729" s="102"/>
      <c r="G729" s="102"/>
      <c r="H729" s="102"/>
      <c r="I729" s="102"/>
      <c r="J729" s="99"/>
      <c r="K729" s="99"/>
      <c r="L729" s="46"/>
      <c r="M729" s="6"/>
    </row>
    <row r="730" spans="1:13" ht="18">
      <c r="A730" s="3">
        <v>23</v>
      </c>
      <c r="B730" s="102"/>
      <c r="C730" s="102"/>
      <c r="D730" s="102"/>
      <c r="E730" s="102"/>
      <c r="F730" s="102"/>
      <c r="G730" s="102"/>
      <c r="H730" s="102"/>
      <c r="I730" s="102"/>
      <c r="J730" s="99"/>
      <c r="K730" s="99"/>
      <c r="L730" s="46"/>
      <c r="M730" s="6"/>
    </row>
    <row r="731" spans="1:13" ht="18">
      <c r="A731" s="3">
        <v>24</v>
      </c>
      <c r="B731" s="102"/>
      <c r="C731" s="102"/>
      <c r="D731" s="102"/>
      <c r="E731" s="102"/>
      <c r="F731" s="102"/>
      <c r="G731" s="102"/>
      <c r="H731" s="102"/>
      <c r="I731" s="102"/>
      <c r="J731" s="99"/>
      <c r="K731" s="99"/>
      <c r="L731" s="46"/>
      <c r="M731" s="6"/>
    </row>
    <row r="732" spans="1:13" ht="18">
      <c r="A732" s="3">
        <v>25</v>
      </c>
      <c r="B732" s="102"/>
      <c r="C732" s="102"/>
      <c r="D732" s="102"/>
      <c r="E732" s="102"/>
      <c r="F732" s="102"/>
      <c r="G732" s="102"/>
      <c r="H732" s="102"/>
      <c r="I732" s="102"/>
      <c r="J732" s="99"/>
      <c r="K732" s="99"/>
      <c r="L732" s="46"/>
      <c r="M732" s="6"/>
    </row>
    <row r="733" spans="1:13" ht="18">
      <c r="A733" s="3">
        <v>26</v>
      </c>
      <c r="B733" s="102"/>
      <c r="C733" s="102"/>
      <c r="D733" s="102"/>
      <c r="E733" s="102"/>
      <c r="F733" s="102"/>
      <c r="G733" s="102"/>
      <c r="H733" s="102"/>
      <c r="I733" s="102"/>
      <c r="J733" s="99"/>
      <c r="K733" s="99"/>
      <c r="L733" s="46"/>
      <c r="M733" s="6"/>
    </row>
    <row r="734" spans="1:13" ht="18">
      <c r="A734" s="3">
        <v>27</v>
      </c>
      <c r="B734" s="102"/>
      <c r="C734" s="102"/>
      <c r="D734" s="102"/>
      <c r="E734" s="102"/>
      <c r="F734" s="102"/>
      <c r="G734" s="102"/>
      <c r="H734" s="102"/>
      <c r="I734" s="102"/>
      <c r="J734" s="99"/>
      <c r="K734" s="99"/>
      <c r="L734" s="46"/>
      <c r="M734" s="6"/>
    </row>
    <row r="735" spans="1:13" ht="18">
      <c r="A735" s="3">
        <v>28</v>
      </c>
      <c r="B735" s="102"/>
      <c r="C735" s="102"/>
      <c r="D735" s="102"/>
      <c r="E735" s="102"/>
      <c r="F735" s="102"/>
      <c r="G735" s="102"/>
      <c r="H735" s="102"/>
      <c r="I735" s="102"/>
      <c r="J735" s="99"/>
      <c r="K735" s="99"/>
      <c r="L735" s="46"/>
      <c r="M735" s="6"/>
    </row>
    <row r="736" spans="1:13">
      <c r="B736" s="102"/>
      <c r="C736" s="102"/>
      <c r="D736" s="102"/>
      <c r="E736" s="102"/>
      <c r="F736" s="102"/>
      <c r="G736" s="102"/>
      <c r="H736" s="102"/>
      <c r="I736" s="102"/>
      <c r="J736" s="99"/>
      <c r="K736" s="99"/>
      <c r="L736" s="46"/>
      <c r="M736" s="6"/>
    </row>
    <row r="737" spans="1:18">
      <c r="B737" s="97"/>
      <c r="C737" s="98"/>
      <c r="D737" s="97"/>
      <c r="E737" s="98"/>
      <c r="F737" s="97"/>
      <c r="G737" s="98"/>
      <c r="H737" s="97"/>
      <c r="I737" s="98"/>
      <c r="J737" s="99"/>
      <c r="K737" s="99"/>
      <c r="L737" s="46"/>
      <c r="M737" s="6"/>
    </row>
    <row r="738" spans="1:18">
      <c r="B738" s="93"/>
      <c r="C738" s="94"/>
      <c r="D738" s="93"/>
      <c r="E738" s="94"/>
      <c r="F738" s="93"/>
      <c r="G738" s="94"/>
      <c r="H738" s="93"/>
      <c r="I738" s="94"/>
      <c r="J738" s="95"/>
      <c r="K738" s="96"/>
      <c r="L738" s="46"/>
      <c r="M738" s="6"/>
    </row>
    <row r="739" spans="1:18">
      <c r="M739" s="6"/>
    </row>
    <row r="740" spans="1:18">
      <c r="B740" s="7" t="str">
        <f>kopsavilkums!$J$2</f>
        <v>Dizšvētku Zolītes finālturnīrs Valkā 2026 (RONDO)</v>
      </c>
    </row>
    <row r="742" spans="1:18">
      <c r="G742" s="41" t="s">
        <v>62</v>
      </c>
      <c r="H742" s="43">
        <f>IF(kopsavilkums!$E$2="","",kopsavilkums!$E$2)</f>
        <v>8</v>
      </c>
    </row>
    <row r="744" spans="1:18" ht="15.75">
      <c r="B744" s="103" t="str">
        <f>IF(N744="","",INDEX(kopsavilkums!$C$6:$C$125,N744))</f>
        <v/>
      </c>
      <c r="C744" s="104"/>
      <c r="D744" s="103" t="str">
        <f>IF(O744="","",INDEX(kopsavilkums!$C$6:$C$125,O744))</f>
        <v/>
      </c>
      <c r="E744" s="104"/>
      <c r="F744" s="103" t="str">
        <f>IF(P744="","",INDEX(kopsavilkums!$C$6:$C$125,P744))</f>
        <v/>
      </c>
      <c r="G744" s="104"/>
      <c r="H744" s="103" t="str">
        <f>IF(Q744="","",INDEX(kopsavilkums!$C$6:$C$125,Q744))</f>
        <v/>
      </c>
      <c r="I744" s="104"/>
      <c r="J744" s="103" t="str">
        <f>IF(R744="","",INDEX(kopsavilkums!$C$6:$C$125,R744))</f>
        <v/>
      </c>
      <c r="K744" s="104"/>
      <c r="N744" t="str">
        <f>IF(1&gt;IF(19&lt;=(INT(kopsavilkums!$V$2/4)-MOD(kopsavilkums!$V$2,4)),4,IF(19&lt;=INT(kopsavilkums!$V$2/4),5,0)),"",IFERROR(MATCH((IF(19&lt;=(INT(kopsavilkums!$V$2/4)-MOD(kopsavilkums!$V$2,4)),(19-1)*4,(INT(kopsavilkums!$V$2/4)-MOD(kopsavilkums!$V$2,4))*4+(19-(INT(kopsavilkums!$V$2/4)-MOD(kopsavilkums!$V$2,4))-1)*5)+1),kopsavilkums!$X$6:$X$125,0),""))</f>
        <v/>
      </c>
      <c r="O744" t="str">
        <f>IF(2&gt;IF(19&lt;=(INT(kopsavilkums!$V$2/4)-MOD(kopsavilkums!$V$2,4)),4,IF(19&lt;=INT(kopsavilkums!$V$2/4),5,0)),"",IFERROR(MATCH((IF(19&lt;=(INT(kopsavilkums!$V$2/4)-MOD(kopsavilkums!$V$2,4)),(19-1)*4,(INT(kopsavilkums!$V$2/4)-MOD(kopsavilkums!$V$2,4))*4+(19-(INT(kopsavilkums!$V$2/4)-MOD(kopsavilkums!$V$2,4))-1)*5)+2),kopsavilkums!$X$6:$X$125,0),""))</f>
        <v/>
      </c>
      <c r="P744" t="str">
        <f>IF(3&gt;IF(19&lt;=(INT(kopsavilkums!$V$2/4)-MOD(kopsavilkums!$V$2,4)),4,IF(19&lt;=INT(kopsavilkums!$V$2/4),5,0)),"",IFERROR(MATCH((IF(19&lt;=(INT(kopsavilkums!$V$2/4)-MOD(kopsavilkums!$V$2,4)),(19-1)*4,(INT(kopsavilkums!$V$2/4)-MOD(kopsavilkums!$V$2,4))*4+(19-(INT(kopsavilkums!$V$2/4)-MOD(kopsavilkums!$V$2,4))-1)*5)+3),kopsavilkums!$X$6:$X$125,0),""))</f>
        <v/>
      </c>
      <c r="Q744" t="str">
        <f>IF(4&gt;IF(19&lt;=(INT(kopsavilkums!$V$2/4)-MOD(kopsavilkums!$V$2,4)),4,IF(19&lt;=INT(kopsavilkums!$V$2/4),5,0)),"",IFERROR(MATCH((IF(19&lt;=(INT(kopsavilkums!$V$2/4)-MOD(kopsavilkums!$V$2,4)),(19-1)*4,(INT(kopsavilkums!$V$2/4)-MOD(kopsavilkums!$V$2,4))*4+(19-(INT(kopsavilkums!$V$2/4)-MOD(kopsavilkums!$V$2,4))-1)*5)+4),kopsavilkums!$X$6:$X$125,0),""))</f>
        <v/>
      </c>
      <c r="R744" t="str">
        <f>IF(5&gt;IF(19&lt;=(INT(kopsavilkums!$V$2/4)-MOD(kopsavilkums!$V$2,4)),4,IF(19&lt;=INT(kopsavilkums!$V$2/4),5,0)),"",IFERROR(MATCH((IF(19&lt;=(INT(kopsavilkums!$V$2/4)-MOD(kopsavilkums!$V$2,4)),(19-1)*4,(INT(kopsavilkums!$V$2/4)-MOD(kopsavilkums!$V$2,4))*4+(19-(INT(kopsavilkums!$V$2/4)-MOD(kopsavilkums!$V$2,4))-1)*5)+5),kopsavilkums!$X$6:$X$125,0),""))</f>
        <v/>
      </c>
    </row>
    <row r="745" spans="1:18" ht="15.75">
      <c r="A745" s="4" t="s">
        <v>63</v>
      </c>
      <c r="B745" s="105" t="str">
        <f>IF(B744="","",19)</f>
        <v/>
      </c>
      <c r="C745" s="105"/>
      <c r="D745" s="105" t="str">
        <f>IF(D744="","",19)</f>
        <v/>
      </c>
      <c r="E745" s="105"/>
      <c r="F745" s="105" t="str">
        <f>IF(F744="","",19)</f>
        <v/>
      </c>
      <c r="G745" s="105"/>
      <c r="H745" s="105" t="str">
        <f>IF(H744="","",19)</f>
        <v/>
      </c>
      <c r="I745" s="105"/>
      <c r="J745" s="105" t="str">
        <f>IF(J744="","",19)</f>
        <v/>
      </c>
      <c r="K745" s="105"/>
    </row>
    <row r="746" spans="1:18" ht="15.75">
      <c r="A746" s="5" t="s">
        <v>64</v>
      </c>
      <c r="B746" s="8" t="str">
        <f>IF(N744="","",INDEX(kopsavilkums!$T$6:$T$125,N744))</f>
        <v/>
      </c>
      <c r="C746" s="8" t="str">
        <f>IF(N744="","",INDEX(kopsavilkums!$U$6:$U$125,N744))</f>
        <v/>
      </c>
      <c r="D746" s="8" t="str">
        <f>IF(O744="","",INDEX(kopsavilkums!$T$6:$T$125,O744))</f>
        <v/>
      </c>
      <c r="E746" s="8" t="str">
        <f>IF(O744="","",INDEX(kopsavilkums!$U$6:$U$125,O744))</f>
        <v/>
      </c>
      <c r="F746" s="8" t="str">
        <f>IF(P744="","",INDEX(kopsavilkums!$T$6:$T$125,P744))</f>
        <v/>
      </c>
      <c r="G746" s="8" t="str">
        <f>IF(P744="","",INDEX(kopsavilkums!$U$6:$U$125,P744))</f>
        <v/>
      </c>
      <c r="H746" s="8" t="str">
        <f>IF(Q744="","",INDEX(kopsavilkums!$T$6:$T$125,Q744))</f>
        <v/>
      </c>
      <c r="I746" s="8" t="str">
        <f>IF(Q744="","",INDEX(kopsavilkums!$U$6:$U$125,Q744))</f>
        <v/>
      </c>
      <c r="J746" s="8" t="str">
        <f>IF(R744="","",INDEX(kopsavilkums!$T$6:$T$125,R744))</f>
        <v/>
      </c>
      <c r="K746" s="8" t="str">
        <f>IF(R744="","",INDEX(kopsavilkums!$U$6:$U$125,R744))</f>
        <v/>
      </c>
    </row>
    <row r="747" spans="1:18">
      <c r="L747" s="17" t="s">
        <v>66</v>
      </c>
      <c r="M747" s="18"/>
    </row>
    <row r="748" spans="1:18">
      <c r="M748" s="2"/>
    </row>
    <row r="749" spans="1:18" ht="18">
      <c r="A749" s="3">
        <v>1</v>
      </c>
      <c r="B749" s="102"/>
      <c r="C749" s="102"/>
      <c r="D749" s="102"/>
      <c r="E749" s="102"/>
      <c r="F749" s="102"/>
      <c r="G749" s="102"/>
      <c r="H749" s="102"/>
      <c r="I749" s="102"/>
      <c r="J749" s="99"/>
      <c r="K749" s="99"/>
      <c r="L749" s="46"/>
      <c r="M749" s="6"/>
    </row>
    <row r="750" spans="1:18" ht="18">
      <c r="A750" s="3">
        <v>2</v>
      </c>
      <c r="B750" s="102"/>
      <c r="C750" s="102"/>
      <c r="D750" s="102"/>
      <c r="E750" s="102"/>
      <c r="F750" s="102"/>
      <c r="G750" s="102"/>
      <c r="H750" s="102"/>
      <c r="I750" s="102"/>
      <c r="J750" s="99"/>
      <c r="K750" s="99"/>
      <c r="L750" s="46"/>
      <c r="M750" s="6"/>
    </row>
    <row r="751" spans="1:18" ht="18">
      <c r="A751" s="3">
        <v>3</v>
      </c>
      <c r="B751" s="102"/>
      <c r="C751" s="102"/>
      <c r="D751" s="102"/>
      <c r="E751" s="102"/>
      <c r="F751" s="102"/>
      <c r="G751" s="102"/>
      <c r="H751" s="102"/>
      <c r="I751" s="102"/>
      <c r="J751" s="99"/>
      <c r="K751" s="99"/>
      <c r="L751" s="46"/>
      <c r="M751" s="6"/>
    </row>
    <row r="752" spans="1:18" ht="18">
      <c r="A752" s="3">
        <v>4</v>
      </c>
      <c r="B752" s="102"/>
      <c r="C752" s="102"/>
      <c r="D752" s="102"/>
      <c r="E752" s="102"/>
      <c r="F752" s="102"/>
      <c r="G752" s="102"/>
      <c r="H752" s="102"/>
      <c r="I752" s="102"/>
      <c r="J752" s="99"/>
      <c r="K752" s="99"/>
      <c r="L752" s="46"/>
      <c r="M752" s="6"/>
    </row>
    <row r="753" spans="1:13" ht="18">
      <c r="A753" s="3">
        <v>5</v>
      </c>
      <c r="B753" s="102"/>
      <c r="C753" s="102"/>
      <c r="D753" s="102"/>
      <c r="E753" s="102"/>
      <c r="F753" s="102"/>
      <c r="G753" s="102"/>
      <c r="H753" s="102"/>
      <c r="I753" s="102"/>
      <c r="J753" s="99"/>
      <c r="K753" s="99"/>
      <c r="L753" s="46"/>
      <c r="M753" s="6"/>
    </row>
    <row r="754" spans="1:13" ht="18">
      <c r="A754" s="3">
        <v>6</v>
      </c>
      <c r="B754" s="102"/>
      <c r="C754" s="102"/>
      <c r="D754" s="102"/>
      <c r="E754" s="102"/>
      <c r="F754" s="102"/>
      <c r="G754" s="102"/>
      <c r="H754" s="102"/>
      <c r="I754" s="102"/>
      <c r="J754" s="99"/>
      <c r="K754" s="99"/>
      <c r="L754" s="46"/>
      <c r="M754" s="6"/>
    </row>
    <row r="755" spans="1:13" ht="18">
      <c r="A755" s="3">
        <v>7</v>
      </c>
      <c r="B755" s="102"/>
      <c r="C755" s="102"/>
      <c r="D755" s="102"/>
      <c r="E755" s="102"/>
      <c r="F755" s="102"/>
      <c r="G755" s="102"/>
      <c r="H755" s="102"/>
      <c r="I755" s="102"/>
      <c r="J755" s="99"/>
      <c r="K755" s="99"/>
      <c r="L755" s="46"/>
      <c r="M755" s="6"/>
    </row>
    <row r="756" spans="1:13" ht="18">
      <c r="A756" s="3">
        <v>8</v>
      </c>
      <c r="B756" s="102"/>
      <c r="C756" s="102"/>
      <c r="D756" s="102"/>
      <c r="E756" s="102"/>
      <c r="F756" s="102"/>
      <c r="G756" s="102"/>
      <c r="H756" s="102"/>
      <c r="I756" s="102"/>
      <c r="J756" s="99"/>
      <c r="K756" s="99"/>
      <c r="L756" s="46"/>
      <c r="M756" s="6"/>
    </row>
    <row r="757" spans="1:13" ht="18">
      <c r="A757" s="3">
        <v>9</v>
      </c>
      <c r="B757" s="102"/>
      <c r="C757" s="102"/>
      <c r="D757" s="102"/>
      <c r="E757" s="102"/>
      <c r="F757" s="102"/>
      <c r="G757" s="102"/>
      <c r="H757" s="102"/>
      <c r="I757" s="102"/>
      <c r="J757" s="99"/>
      <c r="K757" s="99"/>
      <c r="L757" s="46"/>
      <c r="M757" s="6"/>
    </row>
    <row r="758" spans="1:13" ht="18">
      <c r="A758" s="3">
        <v>10</v>
      </c>
      <c r="B758" s="102"/>
      <c r="C758" s="102"/>
      <c r="D758" s="102"/>
      <c r="E758" s="102"/>
      <c r="F758" s="102"/>
      <c r="G758" s="102"/>
      <c r="H758" s="102"/>
      <c r="I758" s="102"/>
      <c r="J758" s="99"/>
      <c r="K758" s="99"/>
      <c r="L758" s="46"/>
      <c r="M758" s="6"/>
    </row>
    <row r="759" spans="1:13" ht="18">
      <c r="A759" s="3">
        <v>11</v>
      </c>
      <c r="B759" s="102"/>
      <c r="C759" s="102"/>
      <c r="D759" s="102"/>
      <c r="E759" s="102"/>
      <c r="F759" s="102"/>
      <c r="G759" s="102"/>
      <c r="H759" s="102"/>
      <c r="I759" s="102"/>
      <c r="J759" s="99"/>
      <c r="K759" s="99"/>
      <c r="L759" s="46"/>
      <c r="M759" s="6"/>
    </row>
    <row r="760" spans="1:13" ht="18">
      <c r="A760" s="3">
        <v>12</v>
      </c>
      <c r="B760" s="102"/>
      <c r="C760" s="102"/>
      <c r="D760" s="102"/>
      <c r="E760" s="102"/>
      <c r="F760" s="102"/>
      <c r="G760" s="102"/>
      <c r="H760" s="102"/>
      <c r="I760" s="102"/>
      <c r="J760" s="99"/>
      <c r="K760" s="99"/>
      <c r="L760" s="46"/>
      <c r="M760" s="6"/>
    </row>
    <row r="761" spans="1:13" ht="18">
      <c r="A761" s="3">
        <v>13</v>
      </c>
      <c r="B761" s="102"/>
      <c r="C761" s="102"/>
      <c r="D761" s="102"/>
      <c r="E761" s="102"/>
      <c r="F761" s="102"/>
      <c r="G761" s="102"/>
      <c r="H761" s="102"/>
      <c r="I761" s="102"/>
      <c r="J761" s="99"/>
      <c r="K761" s="99"/>
      <c r="L761" s="46"/>
      <c r="M761" s="6"/>
    </row>
    <row r="762" spans="1:13" ht="18">
      <c r="A762" s="3">
        <v>14</v>
      </c>
      <c r="B762" s="102"/>
      <c r="C762" s="102"/>
      <c r="D762" s="102"/>
      <c r="E762" s="102"/>
      <c r="F762" s="102"/>
      <c r="G762" s="102"/>
      <c r="H762" s="102"/>
      <c r="I762" s="102"/>
      <c r="J762" s="99"/>
      <c r="K762" s="99"/>
      <c r="L762" s="46"/>
      <c r="M762" s="6"/>
    </row>
    <row r="763" spans="1:13" ht="18">
      <c r="A763" s="3">
        <v>15</v>
      </c>
      <c r="B763" s="102"/>
      <c r="C763" s="102"/>
      <c r="D763" s="102"/>
      <c r="E763" s="102"/>
      <c r="F763" s="102"/>
      <c r="G763" s="102"/>
      <c r="H763" s="102"/>
      <c r="I763" s="102"/>
      <c r="J763" s="99"/>
      <c r="K763" s="99"/>
      <c r="L763" s="46"/>
      <c r="M763" s="6"/>
    </row>
    <row r="764" spans="1:13" ht="18">
      <c r="A764" s="3">
        <v>16</v>
      </c>
      <c r="B764" s="102"/>
      <c r="C764" s="102"/>
      <c r="D764" s="102"/>
      <c r="E764" s="102"/>
      <c r="F764" s="102"/>
      <c r="G764" s="102"/>
      <c r="H764" s="102"/>
      <c r="I764" s="102"/>
      <c r="J764" s="99"/>
      <c r="K764" s="99"/>
      <c r="L764" s="46"/>
      <c r="M764" s="6"/>
    </row>
    <row r="765" spans="1:13" ht="18">
      <c r="A765" s="3">
        <v>17</v>
      </c>
      <c r="B765" s="102"/>
      <c r="C765" s="102"/>
      <c r="D765" s="102"/>
      <c r="E765" s="102"/>
      <c r="F765" s="102"/>
      <c r="G765" s="102"/>
      <c r="H765" s="102"/>
      <c r="I765" s="102"/>
      <c r="J765" s="99"/>
      <c r="K765" s="99"/>
      <c r="L765" s="46"/>
      <c r="M765" s="6"/>
    </row>
    <row r="766" spans="1:13" ht="18">
      <c r="A766" s="3">
        <v>18</v>
      </c>
      <c r="B766" s="102"/>
      <c r="C766" s="102"/>
      <c r="D766" s="102"/>
      <c r="E766" s="102"/>
      <c r="F766" s="102"/>
      <c r="G766" s="102"/>
      <c r="H766" s="102"/>
      <c r="I766" s="102"/>
      <c r="J766" s="99"/>
      <c r="K766" s="99"/>
      <c r="L766" s="46"/>
      <c r="M766" s="6"/>
    </row>
    <row r="767" spans="1:13" ht="18">
      <c r="A767" s="3">
        <v>19</v>
      </c>
      <c r="B767" s="102"/>
      <c r="C767" s="102"/>
      <c r="D767" s="102"/>
      <c r="E767" s="102"/>
      <c r="F767" s="102"/>
      <c r="G767" s="102"/>
      <c r="H767" s="102"/>
      <c r="I767" s="102"/>
      <c r="J767" s="99"/>
      <c r="K767" s="99"/>
      <c r="L767" s="46"/>
      <c r="M767" s="6"/>
    </row>
    <row r="768" spans="1:13" ht="18">
      <c r="A768" s="3">
        <v>20</v>
      </c>
      <c r="B768" s="102"/>
      <c r="C768" s="102"/>
      <c r="D768" s="102"/>
      <c r="E768" s="102"/>
      <c r="F768" s="102"/>
      <c r="G768" s="102"/>
      <c r="H768" s="102"/>
      <c r="I768" s="102"/>
      <c r="J768" s="99"/>
      <c r="K768" s="99"/>
      <c r="L768" s="46"/>
      <c r="M768" s="6"/>
    </row>
    <row r="769" spans="1:13" ht="18">
      <c r="A769" s="3">
        <v>21</v>
      </c>
      <c r="B769" s="102"/>
      <c r="C769" s="102"/>
      <c r="D769" s="102"/>
      <c r="E769" s="102"/>
      <c r="F769" s="102"/>
      <c r="G769" s="102"/>
      <c r="H769" s="102"/>
      <c r="I769" s="102"/>
      <c r="J769" s="99"/>
      <c r="K769" s="99"/>
      <c r="L769" s="46"/>
      <c r="M769" s="6"/>
    </row>
    <row r="770" spans="1:13" ht="18">
      <c r="A770" s="3">
        <v>22</v>
      </c>
      <c r="B770" s="102"/>
      <c r="C770" s="102"/>
      <c r="D770" s="102"/>
      <c r="E770" s="102"/>
      <c r="F770" s="102"/>
      <c r="G770" s="102"/>
      <c r="H770" s="102"/>
      <c r="I770" s="102"/>
      <c r="J770" s="99"/>
      <c r="K770" s="99"/>
      <c r="L770" s="46"/>
      <c r="M770" s="6"/>
    </row>
    <row r="771" spans="1:13" ht="18">
      <c r="A771" s="3">
        <v>23</v>
      </c>
      <c r="B771" s="102"/>
      <c r="C771" s="102"/>
      <c r="D771" s="102"/>
      <c r="E771" s="102"/>
      <c r="F771" s="102"/>
      <c r="G771" s="102"/>
      <c r="H771" s="102"/>
      <c r="I771" s="102"/>
      <c r="J771" s="99"/>
      <c r="K771" s="99"/>
      <c r="L771" s="46"/>
      <c r="M771" s="6"/>
    </row>
    <row r="772" spans="1:13" ht="18">
      <c r="A772" s="3">
        <v>24</v>
      </c>
      <c r="B772" s="102"/>
      <c r="C772" s="102"/>
      <c r="D772" s="102"/>
      <c r="E772" s="102"/>
      <c r="F772" s="102"/>
      <c r="G772" s="102"/>
      <c r="H772" s="102"/>
      <c r="I772" s="102"/>
      <c r="J772" s="99"/>
      <c r="K772" s="99"/>
      <c r="L772" s="46"/>
      <c r="M772" s="6"/>
    </row>
    <row r="773" spans="1:13" ht="18">
      <c r="A773" s="3">
        <v>25</v>
      </c>
      <c r="B773" s="102"/>
      <c r="C773" s="102"/>
      <c r="D773" s="102"/>
      <c r="E773" s="102"/>
      <c r="F773" s="102"/>
      <c r="G773" s="102"/>
      <c r="H773" s="102"/>
      <c r="I773" s="102"/>
      <c r="J773" s="99"/>
      <c r="K773" s="99"/>
      <c r="L773" s="46"/>
      <c r="M773" s="6"/>
    </row>
    <row r="774" spans="1:13" ht="18">
      <c r="A774" s="3">
        <v>26</v>
      </c>
      <c r="B774" s="102"/>
      <c r="C774" s="102"/>
      <c r="D774" s="102"/>
      <c r="E774" s="102"/>
      <c r="F774" s="102"/>
      <c r="G774" s="102"/>
      <c r="H774" s="102"/>
      <c r="I774" s="102"/>
      <c r="J774" s="99"/>
      <c r="K774" s="99"/>
      <c r="L774" s="46"/>
      <c r="M774" s="6"/>
    </row>
    <row r="775" spans="1:13" ht="18">
      <c r="A775" s="3">
        <v>27</v>
      </c>
      <c r="B775" s="102"/>
      <c r="C775" s="102"/>
      <c r="D775" s="102"/>
      <c r="E775" s="102"/>
      <c r="F775" s="102"/>
      <c r="G775" s="102"/>
      <c r="H775" s="102"/>
      <c r="I775" s="102"/>
      <c r="J775" s="99"/>
      <c r="K775" s="99"/>
      <c r="L775" s="46"/>
      <c r="M775" s="6"/>
    </row>
    <row r="776" spans="1:13" ht="18">
      <c r="A776" s="3">
        <v>28</v>
      </c>
      <c r="B776" s="102"/>
      <c r="C776" s="102"/>
      <c r="D776" s="102"/>
      <c r="E776" s="102"/>
      <c r="F776" s="102"/>
      <c r="G776" s="102"/>
      <c r="H776" s="102"/>
      <c r="I776" s="102"/>
      <c r="J776" s="99"/>
      <c r="K776" s="99"/>
      <c r="L776" s="46"/>
      <c r="M776" s="6"/>
    </row>
    <row r="777" spans="1:13">
      <c r="B777" s="102"/>
      <c r="C777" s="102"/>
      <c r="D777" s="102"/>
      <c r="E777" s="102"/>
      <c r="F777" s="102"/>
      <c r="G777" s="102"/>
      <c r="H777" s="102"/>
      <c r="I777" s="102"/>
      <c r="J777" s="99"/>
      <c r="K777" s="99"/>
      <c r="L777" s="46"/>
      <c r="M777" s="6"/>
    </row>
    <row r="778" spans="1:13">
      <c r="B778" s="97"/>
      <c r="C778" s="98"/>
      <c r="D778" s="97"/>
      <c r="E778" s="98"/>
      <c r="F778" s="97"/>
      <c r="G778" s="98"/>
      <c r="H778" s="97"/>
      <c r="I778" s="98"/>
      <c r="J778" s="99"/>
      <c r="K778" s="99"/>
      <c r="L778" s="46"/>
      <c r="M778" s="6"/>
    </row>
    <row r="779" spans="1:13">
      <c r="B779" s="93"/>
      <c r="C779" s="94"/>
      <c r="D779" s="93"/>
      <c r="E779" s="94"/>
      <c r="F779" s="93"/>
      <c r="G779" s="94"/>
      <c r="H779" s="93"/>
      <c r="I779" s="94"/>
      <c r="J779" s="95"/>
      <c r="K779" s="96"/>
      <c r="L779" s="46"/>
      <c r="M779" s="6"/>
    </row>
    <row r="780" spans="1:13">
      <c r="M780" s="6"/>
    </row>
    <row r="781" spans="1:13">
      <c r="B781" s="7" t="str">
        <f>kopsavilkums!$J$2</f>
        <v>Dizšvētku Zolītes finālturnīrs Valkā 2026 (RONDO)</v>
      </c>
    </row>
    <row r="783" spans="1:13">
      <c r="G783" s="41" t="s">
        <v>62</v>
      </c>
      <c r="H783" s="43">
        <f>IF(kopsavilkums!$E$2="","",kopsavilkums!$E$2)</f>
        <v>8</v>
      </c>
    </row>
    <row r="785" spans="1:18" ht="15.75">
      <c r="B785" s="103" t="str">
        <f>IF(N785="","",INDEX(kopsavilkums!$C$6:$C$125,N785))</f>
        <v/>
      </c>
      <c r="C785" s="104"/>
      <c r="D785" s="103" t="str">
        <f>IF(O785="","",INDEX(kopsavilkums!$C$6:$C$125,O785))</f>
        <v/>
      </c>
      <c r="E785" s="104"/>
      <c r="F785" s="103" t="str">
        <f>IF(P785="","",INDEX(kopsavilkums!$C$6:$C$125,P785))</f>
        <v/>
      </c>
      <c r="G785" s="104"/>
      <c r="H785" s="103" t="str">
        <f>IF(Q785="","",INDEX(kopsavilkums!$C$6:$C$125,Q785))</f>
        <v/>
      </c>
      <c r="I785" s="104"/>
      <c r="J785" s="103" t="str">
        <f>IF(R785="","",INDEX(kopsavilkums!$C$6:$C$125,R785))</f>
        <v/>
      </c>
      <c r="K785" s="104"/>
      <c r="N785" t="str">
        <f>IF(1&gt;IF(20&lt;=(INT(kopsavilkums!$V$2/4)-MOD(kopsavilkums!$V$2,4)),4,IF(20&lt;=INT(kopsavilkums!$V$2/4),5,0)),"",IFERROR(MATCH((IF(20&lt;=(INT(kopsavilkums!$V$2/4)-MOD(kopsavilkums!$V$2,4)),(20-1)*4,(INT(kopsavilkums!$V$2/4)-MOD(kopsavilkums!$V$2,4))*4+(20-(INT(kopsavilkums!$V$2/4)-MOD(kopsavilkums!$V$2,4))-1)*5)+1),kopsavilkums!$X$6:$X$125,0),""))</f>
        <v/>
      </c>
      <c r="O785" t="str">
        <f>IF(2&gt;IF(20&lt;=(INT(kopsavilkums!$V$2/4)-MOD(kopsavilkums!$V$2,4)),4,IF(20&lt;=INT(kopsavilkums!$V$2/4),5,0)),"",IFERROR(MATCH((IF(20&lt;=(INT(kopsavilkums!$V$2/4)-MOD(kopsavilkums!$V$2,4)),(20-1)*4,(INT(kopsavilkums!$V$2/4)-MOD(kopsavilkums!$V$2,4))*4+(20-(INT(kopsavilkums!$V$2/4)-MOD(kopsavilkums!$V$2,4))-1)*5)+2),kopsavilkums!$X$6:$X$125,0),""))</f>
        <v/>
      </c>
      <c r="P785" t="str">
        <f>IF(3&gt;IF(20&lt;=(INT(kopsavilkums!$V$2/4)-MOD(kopsavilkums!$V$2,4)),4,IF(20&lt;=INT(kopsavilkums!$V$2/4),5,0)),"",IFERROR(MATCH((IF(20&lt;=(INT(kopsavilkums!$V$2/4)-MOD(kopsavilkums!$V$2,4)),(20-1)*4,(INT(kopsavilkums!$V$2/4)-MOD(kopsavilkums!$V$2,4))*4+(20-(INT(kopsavilkums!$V$2/4)-MOD(kopsavilkums!$V$2,4))-1)*5)+3),kopsavilkums!$X$6:$X$125,0),""))</f>
        <v/>
      </c>
      <c r="Q785" t="str">
        <f>IF(4&gt;IF(20&lt;=(INT(kopsavilkums!$V$2/4)-MOD(kopsavilkums!$V$2,4)),4,IF(20&lt;=INT(kopsavilkums!$V$2/4),5,0)),"",IFERROR(MATCH((IF(20&lt;=(INT(kopsavilkums!$V$2/4)-MOD(kopsavilkums!$V$2,4)),(20-1)*4,(INT(kopsavilkums!$V$2/4)-MOD(kopsavilkums!$V$2,4))*4+(20-(INT(kopsavilkums!$V$2/4)-MOD(kopsavilkums!$V$2,4))-1)*5)+4),kopsavilkums!$X$6:$X$125,0),""))</f>
        <v/>
      </c>
      <c r="R785" t="str">
        <f>IF(5&gt;IF(20&lt;=(INT(kopsavilkums!$V$2/4)-MOD(kopsavilkums!$V$2,4)),4,IF(20&lt;=INT(kopsavilkums!$V$2/4),5,0)),"",IFERROR(MATCH((IF(20&lt;=(INT(kopsavilkums!$V$2/4)-MOD(kopsavilkums!$V$2,4)),(20-1)*4,(INT(kopsavilkums!$V$2/4)-MOD(kopsavilkums!$V$2,4))*4+(20-(INT(kopsavilkums!$V$2/4)-MOD(kopsavilkums!$V$2,4))-1)*5)+5),kopsavilkums!$X$6:$X$125,0),""))</f>
        <v/>
      </c>
    </row>
    <row r="786" spans="1:18" ht="15.75">
      <c r="A786" s="4" t="s">
        <v>63</v>
      </c>
      <c r="B786" s="105" t="str">
        <f>IF(B785="","",20)</f>
        <v/>
      </c>
      <c r="C786" s="105"/>
      <c r="D786" s="105" t="str">
        <f>IF(D785="","",20)</f>
        <v/>
      </c>
      <c r="E786" s="105"/>
      <c r="F786" s="105" t="str">
        <f>IF(F785="","",20)</f>
        <v/>
      </c>
      <c r="G786" s="105"/>
      <c r="H786" s="105" t="str">
        <f>IF(H785="","",20)</f>
        <v/>
      </c>
      <c r="I786" s="105"/>
      <c r="J786" s="105" t="str">
        <f>IF(J785="","",20)</f>
        <v/>
      </c>
      <c r="K786" s="105"/>
    </row>
    <row r="787" spans="1:18" ht="15.75">
      <c r="A787" s="5" t="s">
        <v>64</v>
      </c>
      <c r="B787" s="8" t="str">
        <f>IF(N785="","",INDEX(kopsavilkums!$T$6:$T$125,N785))</f>
        <v/>
      </c>
      <c r="C787" s="8" t="str">
        <f>IF(N785="","",INDEX(kopsavilkums!$U$6:$U$125,N785))</f>
        <v/>
      </c>
      <c r="D787" s="8" t="str">
        <f>IF(O785="","",INDEX(kopsavilkums!$T$6:$T$125,O785))</f>
        <v/>
      </c>
      <c r="E787" s="8" t="str">
        <f>IF(O785="","",INDEX(kopsavilkums!$U$6:$U$125,O785))</f>
        <v/>
      </c>
      <c r="F787" s="8" t="str">
        <f>IF(P785="","",INDEX(kopsavilkums!$T$6:$T$125,P785))</f>
        <v/>
      </c>
      <c r="G787" s="8" t="str">
        <f>IF(P785="","",INDEX(kopsavilkums!$U$6:$U$125,P785))</f>
        <v/>
      </c>
      <c r="H787" s="8" t="str">
        <f>IF(Q785="","",INDEX(kopsavilkums!$T$6:$T$125,Q785))</f>
        <v/>
      </c>
      <c r="I787" s="8" t="str">
        <f>IF(Q785="","",INDEX(kopsavilkums!$U$6:$U$125,Q785))</f>
        <v/>
      </c>
      <c r="J787" s="8" t="str">
        <f>IF(R785="","",INDEX(kopsavilkums!$T$6:$T$125,R785))</f>
        <v/>
      </c>
      <c r="K787" s="8" t="str">
        <f>IF(R785="","",INDEX(kopsavilkums!$U$6:$U$125,R785))</f>
        <v/>
      </c>
    </row>
    <row r="788" spans="1:18">
      <c r="L788" s="17" t="s">
        <v>66</v>
      </c>
      <c r="M788" s="18"/>
    </row>
    <row r="789" spans="1:18">
      <c r="M789" s="2"/>
    </row>
    <row r="790" spans="1:18" ht="18">
      <c r="A790" s="3">
        <v>1</v>
      </c>
      <c r="B790" s="102"/>
      <c r="C790" s="102"/>
      <c r="D790" s="102"/>
      <c r="E790" s="102"/>
      <c r="F790" s="102"/>
      <c r="G790" s="102"/>
      <c r="H790" s="102"/>
      <c r="I790" s="102"/>
      <c r="J790" s="99"/>
      <c r="K790" s="99"/>
      <c r="L790" s="46"/>
      <c r="M790" s="6"/>
    </row>
    <row r="791" spans="1:18" ht="18">
      <c r="A791" s="3">
        <v>2</v>
      </c>
      <c r="B791" s="102"/>
      <c r="C791" s="102"/>
      <c r="D791" s="102"/>
      <c r="E791" s="102"/>
      <c r="F791" s="102"/>
      <c r="G791" s="102"/>
      <c r="H791" s="102"/>
      <c r="I791" s="102"/>
      <c r="J791" s="99"/>
      <c r="K791" s="99"/>
      <c r="L791" s="46"/>
      <c r="M791" s="6"/>
    </row>
    <row r="792" spans="1:18" ht="18">
      <c r="A792" s="3">
        <v>3</v>
      </c>
      <c r="B792" s="102"/>
      <c r="C792" s="102"/>
      <c r="D792" s="102"/>
      <c r="E792" s="102"/>
      <c r="F792" s="102"/>
      <c r="G792" s="102"/>
      <c r="H792" s="102"/>
      <c r="I792" s="102"/>
      <c r="J792" s="99"/>
      <c r="K792" s="99"/>
      <c r="L792" s="46"/>
      <c r="M792" s="6"/>
    </row>
    <row r="793" spans="1:18" ht="18">
      <c r="A793" s="3">
        <v>4</v>
      </c>
      <c r="B793" s="102"/>
      <c r="C793" s="102"/>
      <c r="D793" s="102"/>
      <c r="E793" s="102"/>
      <c r="F793" s="102"/>
      <c r="G793" s="102"/>
      <c r="H793" s="102"/>
      <c r="I793" s="102"/>
      <c r="J793" s="99"/>
      <c r="K793" s="99"/>
      <c r="L793" s="46"/>
      <c r="M793" s="6"/>
    </row>
    <row r="794" spans="1:18" ht="18">
      <c r="A794" s="3">
        <v>5</v>
      </c>
      <c r="B794" s="102"/>
      <c r="C794" s="102"/>
      <c r="D794" s="102"/>
      <c r="E794" s="102"/>
      <c r="F794" s="102"/>
      <c r="G794" s="102"/>
      <c r="H794" s="102"/>
      <c r="I794" s="102"/>
      <c r="J794" s="99"/>
      <c r="K794" s="99"/>
      <c r="L794" s="46"/>
      <c r="M794" s="6"/>
    </row>
    <row r="795" spans="1:18" ht="18">
      <c r="A795" s="3">
        <v>6</v>
      </c>
      <c r="B795" s="102"/>
      <c r="C795" s="102"/>
      <c r="D795" s="102"/>
      <c r="E795" s="102"/>
      <c r="F795" s="102"/>
      <c r="G795" s="102"/>
      <c r="H795" s="102"/>
      <c r="I795" s="102"/>
      <c r="J795" s="99"/>
      <c r="K795" s="99"/>
      <c r="L795" s="46"/>
      <c r="M795" s="6"/>
    </row>
    <row r="796" spans="1:18" ht="18">
      <c r="A796" s="3">
        <v>7</v>
      </c>
      <c r="B796" s="102"/>
      <c r="C796" s="102"/>
      <c r="D796" s="102"/>
      <c r="E796" s="102"/>
      <c r="F796" s="102"/>
      <c r="G796" s="102"/>
      <c r="H796" s="102"/>
      <c r="I796" s="102"/>
      <c r="J796" s="99"/>
      <c r="K796" s="99"/>
      <c r="L796" s="46"/>
      <c r="M796" s="6"/>
    </row>
    <row r="797" spans="1:18" ht="18">
      <c r="A797" s="3">
        <v>8</v>
      </c>
      <c r="B797" s="102"/>
      <c r="C797" s="102"/>
      <c r="D797" s="102"/>
      <c r="E797" s="102"/>
      <c r="F797" s="102"/>
      <c r="G797" s="102"/>
      <c r="H797" s="102"/>
      <c r="I797" s="102"/>
      <c r="J797" s="99"/>
      <c r="K797" s="99"/>
      <c r="L797" s="46"/>
      <c r="M797" s="6"/>
    </row>
    <row r="798" spans="1:18" ht="18">
      <c r="A798" s="3">
        <v>9</v>
      </c>
      <c r="B798" s="102"/>
      <c r="C798" s="102"/>
      <c r="D798" s="102"/>
      <c r="E798" s="102"/>
      <c r="F798" s="102"/>
      <c r="G798" s="102"/>
      <c r="H798" s="102"/>
      <c r="I798" s="102"/>
      <c r="J798" s="99"/>
      <c r="K798" s="99"/>
      <c r="L798" s="46"/>
      <c r="M798" s="6"/>
    </row>
    <row r="799" spans="1:18" ht="18">
      <c r="A799" s="3">
        <v>10</v>
      </c>
      <c r="B799" s="102"/>
      <c r="C799" s="102"/>
      <c r="D799" s="102"/>
      <c r="E799" s="102"/>
      <c r="F799" s="102"/>
      <c r="G799" s="102"/>
      <c r="H799" s="102"/>
      <c r="I799" s="102"/>
      <c r="J799" s="99"/>
      <c r="K799" s="99"/>
      <c r="L799" s="46"/>
      <c r="M799" s="6"/>
    </row>
    <row r="800" spans="1:18" ht="18">
      <c r="A800" s="3">
        <v>11</v>
      </c>
      <c r="B800" s="102"/>
      <c r="C800" s="102"/>
      <c r="D800" s="102"/>
      <c r="E800" s="102"/>
      <c r="F800" s="102"/>
      <c r="G800" s="102"/>
      <c r="H800" s="102"/>
      <c r="I800" s="102"/>
      <c r="J800" s="99"/>
      <c r="K800" s="99"/>
      <c r="L800" s="46"/>
      <c r="M800" s="6"/>
    </row>
    <row r="801" spans="1:13" ht="18">
      <c r="A801" s="3">
        <v>12</v>
      </c>
      <c r="B801" s="102"/>
      <c r="C801" s="102"/>
      <c r="D801" s="102"/>
      <c r="E801" s="102"/>
      <c r="F801" s="102"/>
      <c r="G801" s="102"/>
      <c r="H801" s="102"/>
      <c r="I801" s="102"/>
      <c r="J801" s="99"/>
      <c r="K801" s="99"/>
      <c r="L801" s="46"/>
      <c r="M801" s="6"/>
    </row>
    <row r="802" spans="1:13" ht="18">
      <c r="A802" s="3">
        <v>13</v>
      </c>
      <c r="B802" s="102"/>
      <c r="C802" s="102"/>
      <c r="D802" s="102"/>
      <c r="E802" s="102"/>
      <c r="F802" s="102"/>
      <c r="G802" s="102"/>
      <c r="H802" s="102"/>
      <c r="I802" s="102"/>
      <c r="J802" s="99"/>
      <c r="K802" s="99"/>
      <c r="L802" s="46"/>
      <c r="M802" s="6"/>
    </row>
    <row r="803" spans="1:13" ht="18">
      <c r="A803" s="3">
        <v>14</v>
      </c>
      <c r="B803" s="102"/>
      <c r="C803" s="102"/>
      <c r="D803" s="102"/>
      <c r="E803" s="102"/>
      <c r="F803" s="102"/>
      <c r="G803" s="102"/>
      <c r="H803" s="102"/>
      <c r="I803" s="102"/>
      <c r="J803" s="99"/>
      <c r="K803" s="99"/>
      <c r="L803" s="46"/>
      <c r="M803" s="6"/>
    </row>
    <row r="804" spans="1:13" ht="18">
      <c r="A804" s="3">
        <v>15</v>
      </c>
      <c r="B804" s="102"/>
      <c r="C804" s="102"/>
      <c r="D804" s="102"/>
      <c r="E804" s="102"/>
      <c r="F804" s="102"/>
      <c r="G804" s="102"/>
      <c r="H804" s="102"/>
      <c r="I804" s="102"/>
      <c r="J804" s="99"/>
      <c r="K804" s="99"/>
      <c r="L804" s="46"/>
      <c r="M804" s="6"/>
    </row>
    <row r="805" spans="1:13" ht="18">
      <c r="A805" s="3">
        <v>16</v>
      </c>
      <c r="B805" s="102"/>
      <c r="C805" s="102"/>
      <c r="D805" s="102"/>
      <c r="E805" s="102"/>
      <c r="F805" s="102"/>
      <c r="G805" s="102"/>
      <c r="H805" s="102"/>
      <c r="I805" s="102"/>
      <c r="J805" s="99"/>
      <c r="K805" s="99"/>
      <c r="L805" s="46"/>
      <c r="M805" s="6"/>
    </row>
    <row r="806" spans="1:13" ht="18">
      <c r="A806" s="3">
        <v>17</v>
      </c>
      <c r="B806" s="102"/>
      <c r="C806" s="102"/>
      <c r="D806" s="102"/>
      <c r="E806" s="102"/>
      <c r="F806" s="102"/>
      <c r="G806" s="102"/>
      <c r="H806" s="102"/>
      <c r="I806" s="102"/>
      <c r="J806" s="99"/>
      <c r="K806" s="99"/>
      <c r="L806" s="46"/>
      <c r="M806" s="6"/>
    </row>
    <row r="807" spans="1:13" ht="18">
      <c r="A807" s="3">
        <v>18</v>
      </c>
      <c r="B807" s="102"/>
      <c r="C807" s="102"/>
      <c r="D807" s="102"/>
      <c r="E807" s="102"/>
      <c r="F807" s="102"/>
      <c r="G807" s="102"/>
      <c r="H807" s="102"/>
      <c r="I807" s="102"/>
      <c r="J807" s="99"/>
      <c r="K807" s="99"/>
      <c r="L807" s="46"/>
      <c r="M807" s="6"/>
    </row>
    <row r="808" spans="1:13" ht="18">
      <c r="A808" s="3">
        <v>19</v>
      </c>
      <c r="B808" s="102"/>
      <c r="C808" s="102"/>
      <c r="D808" s="102"/>
      <c r="E808" s="102"/>
      <c r="F808" s="102"/>
      <c r="G808" s="102"/>
      <c r="H808" s="102"/>
      <c r="I808" s="102"/>
      <c r="J808" s="99"/>
      <c r="K808" s="99"/>
      <c r="L808" s="46"/>
      <c r="M808" s="6"/>
    </row>
    <row r="809" spans="1:13" ht="18">
      <c r="A809" s="3">
        <v>20</v>
      </c>
      <c r="B809" s="102"/>
      <c r="C809" s="102"/>
      <c r="D809" s="102"/>
      <c r="E809" s="102"/>
      <c r="F809" s="102"/>
      <c r="G809" s="102"/>
      <c r="H809" s="102"/>
      <c r="I809" s="102"/>
      <c r="J809" s="99"/>
      <c r="K809" s="99"/>
      <c r="L809" s="46"/>
      <c r="M809" s="6"/>
    </row>
    <row r="810" spans="1:13" ht="18">
      <c r="A810" s="3">
        <v>21</v>
      </c>
      <c r="B810" s="102"/>
      <c r="C810" s="102"/>
      <c r="D810" s="102"/>
      <c r="E810" s="102"/>
      <c r="F810" s="102"/>
      <c r="G810" s="102"/>
      <c r="H810" s="102"/>
      <c r="I810" s="102"/>
      <c r="J810" s="99"/>
      <c r="K810" s="99"/>
      <c r="L810" s="46"/>
      <c r="M810" s="6"/>
    </row>
    <row r="811" spans="1:13" ht="18">
      <c r="A811" s="3">
        <v>22</v>
      </c>
      <c r="B811" s="102"/>
      <c r="C811" s="102"/>
      <c r="D811" s="102"/>
      <c r="E811" s="102"/>
      <c r="F811" s="102"/>
      <c r="G811" s="102"/>
      <c r="H811" s="102"/>
      <c r="I811" s="102"/>
      <c r="J811" s="99"/>
      <c r="K811" s="99"/>
      <c r="L811" s="46"/>
      <c r="M811" s="6"/>
    </row>
    <row r="812" spans="1:13" ht="18">
      <c r="A812" s="3">
        <v>23</v>
      </c>
      <c r="B812" s="102"/>
      <c r="C812" s="102"/>
      <c r="D812" s="102"/>
      <c r="E812" s="102"/>
      <c r="F812" s="102"/>
      <c r="G812" s="102"/>
      <c r="H812" s="102"/>
      <c r="I812" s="102"/>
      <c r="J812" s="99"/>
      <c r="K812" s="99"/>
      <c r="L812" s="46"/>
      <c r="M812" s="6"/>
    </row>
    <row r="813" spans="1:13" ht="18">
      <c r="A813" s="3">
        <v>24</v>
      </c>
      <c r="B813" s="102"/>
      <c r="C813" s="102"/>
      <c r="D813" s="102"/>
      <c r="E813" s="102"/>
      <c r="F813" s="102"/>
      <c r="G813" s="102"/>
      <c r="H813" s="102"/>
      <c r="I813" s="102"/>
      <c r="J813" s="99"/>
      <c r="K813" s="99"/>
      <c r="L813" s="46"/>
      <c r="M813" s="6"/>
    </row>
    <row r="814" spans="1:13" ht="18">
      <c r="A814" s="3">
        <v>25</v>
      </c>
      <c r="B814" s="102"/>
      <c r="C814" s="102"/>
      <c r="D814" s="102"/>
      <c r="E814" s="102"/>
      <c r="F814" s="102"/>
      <c r="G814" s="102"/>
      <c r="H814" s="102"/>
      <c r="I814" s="102"/>
      <c r="J814" s="99"/>
      <c r="K814" s="99"/>
      <c r="L814" s="46"/>
      <c r="M814" s="6"/>
    </row>
    <row r="815" spans="1:13" ht="18">
      <c r="A815" s="3">
        <v>26</v>
      </c>
      <c r="B815" s="102"/>
      <c r="C815" s="102"/>
      <c r="D815" s="102"/>
      <c r="E815" s="102"/>
      <c r="F815" s="102"/>
      <c r="G815" s="102"/>
      <c r="H815" s="102"/>
      <c r="I815" s="102"/>
      <c r="J815" s="99"/>
      <c r="K815" s="99"/>
      <c r="L815" s="46"/>
      <c r="M815" s="6"/>
    </row>
    <row r="816" spans="1:13" ht="18">
      <c r="A816" s="3">
        <v>27</v>
      </c>
      <c r="B816" s="102"/>
      <c r="C816" s="102"/>
      <c r="D816" s="102"/>
      <c r="E816" s="102"/>
      <c r="F816" s="102"/>
      <c r="G816" s="102"/>
      <c r="H816" s="102"/>
      <c r="I816" s="102"/>
      <c r="J816" s="99"/>
      <c r="K816" s="99"/>
      <c r="L816" s="46"/>
      <c r="M816" s="6"/>
    </row>
    <row r="817" spans="1:18" ht="18">
      <c r="A817" s="3">
        <v>28</v>
      </c>
      <c r="B817" s="102"/>
      <c r="C817" s="102"/>
      <c r="D817" s="102"/>
      <c r="E817" s="102"/>
      <c r="F817" s="102"/>
      <c r="G817" s="102"/>
      <c r="H817" s="102"/>
      <c r="I817" s="102"/>
      <c r="J817" s="99"/>
      <c r="K817" s="99"/>
      <c r="L817" s="46"/>
      <c r="M817" s="6"/>
    </row>
    <row r="818" spans="1:18">
      <c r="B818" s="102"/>
      <c r="C818" s="102"/>
      <c r="D818" s="102"/>
      <c r="E818" s="102"/>
      <c r="F818" s="102"/>
      <c r="G818" s="102"/>
      <c r="H818" s="102"/>
      <c r="I818" s="102"/>
      <c r="J818" s="99"/>
      <c r="K818" s="99"/>
      <c r="L818" s="46"/>
      <c r="M818" s="6"/>
    </row>
    <row r="819" spans="1:18">
      <c r="B819" s="97"/>
      <c r="C819" s="98"/>
      <c r="D819" s="97"/>
      <c r="E819" s="98"/>
      <c r="F819" s="97"/>
      <c r="G819" s="98"/>
      <c r="H819" s="97"/>
      <c r="I819" s="98"/>
      <c r="J819" s="99"/>
      <c r="K819" s="99"/>
      <c r="L819" s="46"/>
      <c r="M819" s="6"/>
    </row>
    <row r="820" spans="1:18">
      <c r="B820" s="93"/>
      <c r="C820" s="94"/>
      <c r="D820" s="93"/>
      <c r="E820" s="94"/>
      <c r="F820" s="93"/>
      <c r="G820" s="94"/>
      <c r="H820" s="93"/>
      <c r="I820" s="94"/>
      <c r="J820" s="95"/>
      <c r="K820" s="96"/>
      <c r="L820" s="46"/>
      <c r="M820" s="6"/>
    </row>
    <row r="821" spans="1:18">
      <c r="M821" s="6"/>
    </row>
    <row r="822" spans="1:18">
      <c r="B822" s="7" t="str">
        <f>kopsavilkums!$J$2</f>
        <v>Dizšvētku Zolītes finālturnīrs Valkā 2026 (RONDO)</v>
      </c>
    </row>
    <row r="824" spans="1:18">
      <c r="G824" s="41" t="s">
        <v>62</v>
      </c>
      <c r="H824" s="43">
        <f>IF(kopsavilkums!$E$2="","",kopsavilkums!$E$2)</f>
        <v>8</v>
      </c>
    </row>
    <row r="826" spans="1:18" ht="15.75">
      <c r="B826" s="103" t="str">
        <f>IF(N826="","",INDEX(kopsavilkums!$C$6:$C$125,N826))</f>
        <v/>
      </c>
      <c r="C826" s="104"/>
      <c r="D826" s="103" t="str">
        <f>IF(O826="","",INDEX(kopsavilkums!$C$6:$C$125,O826))</f>
        <v/>
      </c>
      <c r="E826" s="104"/>
      <c r="F826" s="103" t="str">
        <f>IF(P826="","",INDEX(kopsavilkums!$C$6:$C$125,P826))</f>
        <v/>
      </c>
      <c r="G826" s="104"/>
      <c r="H826" s="103" t="str">
        <f>IF(Q826="","",INDEX(kopsavilkums!$C$6:$C$125,Q826))</f>
        <v/>
      </c>
      <c r="I826" s="104"/>
      <c r="J826" s="103" t="str">
        <f>IF(R826="","",INDEX(kopsavilkums!$C$6:$C$125,R826))</f>
        <v/>
      </c>
      <c r="K826" s="104"/>
      <c r="N826" t="str">
        <f>IF(1&gt;IF(21&lt;=(INT(kopsavilkums!$V$2/4)-MOD(kopsavilkums!$V$2,4)),4,IF(21&lt;=INT(kopsavilkums!$V$2/4),5,0)),"",IFERROR(MATCH((IF(21&lt;=(INT(kopsavilkums!$V$2/4)-MOD(kopsavilkums!$V$2,4)),(21-1)*4,(INT(kopsavilkums!$V$2/4)-MOD(kopsavilkums!$V$2,4))*4+(21-(INT(kopsavilkums!$V$2/4)-MOD(kopsavilkums!$V$2,4))-1)*5)+1),kopsavilkums!$X$6:$X$125,0),""))</f>
        <v/>
      </c>
      <c r="O826" t="str">
        <f>IF(2&gt;IF(21&lt;=(INT(kopsavilkums!$V$2/4)-MOD(kopsavilkums!$V$2,4)),4,IF(21&lt;=INT(kopsavilkums!$V$2/4),5,0)),"",IFERROR(MATCH((IF(21&lt;=(INT(kopsavilkums!$V$2/4)-MOD(kopsavilkums!$V$2,4)),(21-1)*4,(INT(kopsavilkums!$V$2/4)-MOD(kopsavilkums!$V$2,4))*4+(21-(INT(kopsavilkums!$V$2/4)-MOD(kopsavilkums!$V$2,4))-1)*5)+2),kopsavilkums!$X$6:$X$125,0),""))</f>
        <v/>
      </c>
      <c r="P826" t="str">
        <f>IF(3&gt;IF(21&lt;=(INT(kopsavilkums!$V$2/4)-MOD(kopsavilkums!$V$2,4)),4,IF(21&lt;=INT(kopsavilkums!$V$2/4),5,0)),"",IFERROR(MATCH((IF(21&lt;=(INT(kopsavilkums!$V$2/4)-MOD(kopsavilkums!$V$2,4)),(21-1)*4,(INT(kopsavilkums!$V$2/4)-MOD(kopsavilkums!$V$2,4))*4+(21-(INT(kopsavilkums!$V$2/4)-MOD(kopsavilkums!$V$2,4))-1)*5)+3),kopsavilkums!$X$6:$X$125,0),""))</f>
        <v/>
      </c>
      <c r="Q826" t="str">
        <f>IF(4&gt;IF(21&lt;=(INT(kopsavilkums!$V$2/4)-MOD(kopsavilkums!$V$2,4)),4,IF(21&lt;=INT(kopsavilkums!$V$2/4),5,0)),"",IFERROR(MATCH((IF(21&lt;=(INT(kopsavilkums!$V$2/4)-MOD(kopsavilkums!$V$2,4)),(21-1)*4,(INT(kopsavilkums!$V$2/4)-MOD(kopsavilkums!$V$2,4))*4+(21-(INT(kopsavilkums!$V$2/4)-MOD(kopsavilkums!$V$2,4))-1)*5)+4),kopsavilkums!$X$6:$X$125,0),""))</f>
        <v/>
      </c>
      <c r="R826" t="str">
        <f>IF(5&gt;IF(21&lt;=(INT(kopsavilkums!$V$2/4)-MOD(kopsavilkums!$V$2,4)),4,IF(21&lt;=INT(kopsavilkums!$V$2/4),5,0)),"",IFERROR(MATCH((IF(21&lt;=(INT(kopsavilkums!$V$2/4)-MOD(kopsavilkums!$V$2,4)),(21-1)*4,(INT(kopsavilkums!$V$2/4)-MOD(kopsavilkums!$V$2,4))*4+(21-(INT(kopsavilkums!$V$2/4)-MOD(kopsavilkums!$V$2,4))-1)*5)+5),kopsavilkums!$X$6:$X$125,0),""))</f>
        <v/>
      </c>
    </row>
    <row r="827" spans="1:18" ht="15.75">
      <c r="A827" s="4" t="s">
        <v>63</v>
      </c>
      <c r="B827" s="105" t="str">
        <f>IF(B826="","",21)</f>
        <v/>
      </c>
      <c r="C827" s="105"/>
      <c r="D827" s="105" t="str">
        <f>IF(D826="","",21)</f>
        <v/>
      </c>
      <c r="E827" s="105"/>
      <c r="F827" s="105" t="str">
        <f>IF(F826="","",21)</f>
        <v/>
      </c>
      <c r="G827" s="105"/>
      <c r="H827" s="105" t="str">
        <f>IF(H826="","",21)</f>
        <v/>
      </c>
      <c r="I827" s="105"/>
      <c r="J827" s="105" t="str">
        <f>IF(J826="","",21)</f>
        <v/>
      </c>
      <c r="K827" s="105"/>
    </row>
    <row r="828" spans="1:18" ht="15.75">
      <c r="A828" s="5" t="s">
        <v>64</v>
      </c>
      <c r="B828" s="8" t="str">
        <f>IF(N826="","",INDEX(kopsavilkums!$T$6:$T$125,N826))</f>
        <v/>
      </c>
      <c r="C828" s="8" t="str">
        <f>IF(N826="","",INDEX(kopsavilkums!$U$6:$U$125,N826))</f>
        <v/>
      </c>
      <c r="D828" s="8" t="str">
        <f>IF(O826="","",INDEX(kopsavilkums!$T$6:$T$125,O826))</f>
        <v/>
      </c>
      <c r="E828" s="8" t="str">
        <f>IF(O826="","",INDEX(kopsavilkums!$U$6:$U$125,O826))</f>
        <v/>
      </c>
      <c r="F828" s="8" t="str">
        <f>IF(P826="","",INDEX(kopsavilkums!$T$6:$T$125,P826))</f>
        <v/>
      </c>
      <c r="G828" s="8" t="str">
        <f>IF(P826="","",INDEX(kopsavilkums!$U$6:$U$125,P826))</f>
        <v/>
      </c>
      <c r="H828" s="8" t="str">
        <f>IF(Q826="","",INDEX(kopsavilkums!$T$6:$T$125,Q826))</f>
        <v/>
      </c>
      <c r="I828" s="8" t="str">
        <f>IF(Q826="","",INDEX(kopsavilkums!$U$6:$U$125,Q826))</f>
        <v/>
      </c>
      <c r="J828" s="8" t="str">
        <f>IF(R826="","",INDEX(kopsavilkums!$T$6:$T$125,R826))</f>
        <v/>
      </c>
      <c r="K828" s="8" t="str">
        <f>IF(R826="","",INDEX(kopsavilkums!$U$6:$U$125,R826))</f>
        <v/>
      </c>
    </row>
    <row r="829" spans="1:18">
      <c r="L829" s="17" t="s">
        <v>66</v>
      </c>
      <c r="M829" s="18"/>
    </row>
    <row r="830" spans="1:18">
      <c r="M830" s="2"/>
    </row>
    <row r="831" spans="1:18" ht="18">
      <c r="A831" s="3">
        <v>1</v>
      </c>
      <c r="B831" s="102"/>
      <c r="C831" s="102"/>
      <c r="D831" s="102"/>
      <c r="E831" s="102"/>
      <c r="F831" s="102"/>
      <c r="G831" s="102"/>
      <c r="H831" s="102"/>
      <c r="I831" s="102"/>
      <c r="J831" s="99"/>
      <c r="K831" s="99"/>
      <c r="L831" s="46"/>
      <c r="M831" s="6"/>
    </row>
    <row r="832" spans="1:18" ht="18">
      <c r="A832" s="3">
        <v>2</v>
      </c>
      <c r="B832" s="102"/>
      <c r="C832" s="102"/>
      <c r="D832" s="102"/>
      <c r="E832" s="102"/>
      <c r="F832" s="102"/>
      <c r="G832" s="102"/>
      <c r="H832" s="102"/>
      <c r="I832" s="102"/>
      <c r="J832" s="99"/>
      <c r="K832" s="99"/>
      <c r="L832" s="46"/>
      <c r="M832" s="6"/>
    </row>
    <row r="833" spans="1:13" ht="18">
      <c r="A833" s="3">
        <v>3</v>
      </c>
      <c r="B833" s="102"/>
      <c r="C833" s="102"/>
      <c r="D833" s="102"/>
      <c r="E833" s="102"/>
      <c r="F833" s="102"/>
      <c r="G833" s="102"/>
      <c r="H833" s="102"/>
      <c r="I833" s="102"/>
      <c r="J833" s="99"/>
      <c r="K833" s="99"/>
      <c r="L833" s="46"/>
      <c r="M833" s="6"/>
    </row>
    <row r="834" spans="1:13" ht="18">
      <c r="A834" s="3">
        <v>4</v>
      </c>
      <c r="B834" s="102"/>
      <c r="C834" s="102"/>
      <c r="D834" s="102"/>
      <c r="E834" s="102"/>
      <c r="F834" s="102"/>
      <c r="G834" s="102"/>
      <c r="H834" s="102"/>
      <c r="I834" s="102"/>
      <c r="J834" s="99"/>
      <c r="K834" s="99"/>
      <c r="L834" s="46"/>
      <c r="M834" s="6"/>
    </row>
    <row r="835" spans="1:13" ht="18">
      <c r="A835" s="3">
        <v>5</v>
      </c>
      <c r="B835" s="102"/>
      <c r="C835" s="102"/>
      <c r="D835" s="102"/>
      <c r="E835" s="102"/>
      <c r="F835" s="102"/>
      <c r="G835" s="102"/>
      <c r="H835" s="102"/>
      <c r="I835" s="102"/>
      <c r="J835" s="99"/>
      <c r="K835" s="99"/>
      <c r="L835" s="46"/>
      <c r="M835" s="6"/>
    </row>
    <row r="836" spans="1:13" ht="18">
      <c r="A836" s="3">
        <v>6</v>
      </c>
      <c r="B836" s="102"/>
      <c r="C836" s="102"/>
      <c r="D836" s="102"/>
      <c r="E836" s="102"/>
      <c r="F836" s="102"/>
      <c r="G836" s="102"/>
      <c r="H836" s="102"/>
      <c r="I836" s="102"/>
      <c r="J836" s="99"/>
      <c r="K836" s="99"/>
      <c r="L836" s="46"/>
      <c r="M836" s="6"/>
    </row>
    <row r="837" spans="1:13" ht="18">
      <c r="A837" s="3">
        <v>7</v>
      </c>
      <c r="B837" s="102"/>
      <c r="C837" s="102"/>
      <c r="D837" s="102"/>
      <c r="E837" s="102"/>
      <c r="F837" s="102"/>
      <c r="G837" s="102"/>
      <c r="H837" s="102"/>
      <c r="I837" s="102"/>
      <c r="J837" s="99"/>
      <c r="K837" s="99"/>
      <c r="L837" s="46"/>
      <c r="M837" s="6"/>
    </row>
    <row r="838" spans="1:13" ht="18">
      <c r="A838" s="3">
        <v>8</v>
      </c>
      <c r="B838" s="102"/>
      <c r="C838" s="102"/>
      <c r="D838" s="102"/>
      <c r="E838" s="102"/>
      <c r="F838" s="102"/>
      <c r="G838" s="102"/>
      <c r="H838" s="102"/>
      <c r="I838" s="102"/>
      <c r="J838" s="99"/>
      <c r="K838" s="99"/>
      <c r="L838" s="46"/>
      <c r="M838" s="6"/>
    </row>
    <row r="839" spans="1:13" ht="18">
      <c r="A839" s="3">
        <v>9</v>
      </c>
      <c r="B839" s="102"/>
      <c r="C839" s="102"/>
      <c r="D839" s="102"/>
      <c r="E839" s="102"/>
      <c r="F839" s="102"/>
      <c r="G839" s="102"/>
      <c r="H839" s="102"/>
      <c r="I839" s="102"/>
      <c r="J839" s="99"/>
      <c r="K839" s="99"/>
      <c r="L839" s="46"/>
      <c r="M839" s="6"/>
    </row>
    <row r="840" spans="1:13" ht="18">
      <c r="A840" s="3">
        <v>10</v>
      </c>
      <c r="B840" s="102"/>
      <c r="C840" s="102"/>
      <c r="D840" s="102"/>
      <c r="E840" s="102"/>
      <c r="F840" s="102"/>
      <c r="G840" s="102"/>
      <c r="H840" s="102"/>
      <c r="I840" s="102"/>
      <c r="J840" s="99"/>
      <c r="K840" s="99"/>
      <c r="L840" s="46"/>
      <c r="M840" s="6"/>
    </row>
    <row r="841" spans="1:13" ht="18">
      <c r="A841" s="3">
        <v>11</v>
      </c>
      <c r="B841" s="102"/>
      <c r="C841" s="102"/>
      <c r="D841" s="102"/>
      <c r="E841" s="102"/>
      <c r="F841" s="102"/>
      <c r="G841" s="102"/>
      <c r="H841" s="102"/>
      <c r="I841" s="102"/>
      <c r="J841" s="99"/>
      <c r="K841" s="99"/>
      <c r="L841" s="46"/>
      <c r="M841" s="6"/>
    </row>
    <row r="842" spans="1:13" ht="18">
      <c r="A842" s="3">
        <v>12</v>
      </c>
      <c r="B842" s="102"/>
      <c r="C842" s="102"/>
      <c r="D842" s="102"/>
      <c r="E842" s="102"/>
      <c r="F842" s="102"/>
      <c r="G842" s="102"/>
      <c r="H842" s="102"/>
      <c r="I842" s="102"/>
      <c r="J842" s="99"/>
      <c r="K842" s="99"/>
      <c r="L842" s="46"/>
      <c r="M842" s="6"/>
    </row>
    <row r="843" spans="1:13" ht="18">
      <c r="A843" s="3">
        <v>13</v>
      </c>
      <c r="B843" s="102"/>
      <c r="C843" s="102"/>
      <c r="D843" s="102"/>
      <c r="E843" s="102"/>
      <c r="F843" s="102"/>
      <c r="G843" s="102"/>
      <c r="H843" s="102"/>
      <c r="I843" s="102"/>
      <c r="J843" s="99"/>
      <c r="K843" s="99"/>
      <c r="L843" s="46"/>
      <c r="M843" s="6"/>
    </row>
    <row r="844" spans="1:13" ht="18">
      <c r="A844" s="3">
        <v>14</v>
      </c>
      <c r="B844" s="102"/>
      <c r="C844" s="102"/>
      <c r="D844" s="102"/>
      <c r="E844" s="102"/>
      <c r="F844" s="102"/>
      <c r="G844" s="102"/>
      <c r="H844" s="102"/>
      <c r="I844" s="102"/>
      <c r="J844" s="99"/>
      <c r="K844" s="99"/>
      <c r="L844" s="46"/>
      <c r="M844" s="6"/>
    </row>
    <row r="845" spans="1:13" ht="18">
      <c r="A845" s="3">
        <v>15</v>
      </c>
      <c r="B845" s="102"/>
      <c r="C845" s="102"/>
      <c r="D845" s="102"/>
      <c r="E845" s="102"/>
      <c r="F845" s="102"/>
      <c r="G845" s="102"/>
      <c r="H845" s="102"/>
      <c r="I845" s="102"/>
      <c r="J845" s="99"/>
      <c r="K845" s="99"/>
      <c r="L845" s="46"/>
      <c r="M845" s="6"/>
    </row>
    <row r="846" spans="1:13" ht="18">
      <c r="A846" s="3">
        <v>16</v>
      </c>
      <c r="B846" s="102"/>
      <c r="C846" s="102"/>
      <c r="D846" s="102"/>
      <c r="E846" s="102"/>
      <c r="F846" s="102"/>
      <c r="G846" s="102"/>
      <c r="H846" s="102"/>
      <c r="I846" s="102"/>
      <c r="J846" s="99"/>
      <c r="K846" s="99"/>
      <c r="L846" s="46"/>
      <c r="M846" s="6"/>
    </row>
    <row r="847" spans="1:13" ht="18">
      <c r="A847" s="3">
        <v>17</v>
      </c>
      <c r="B847" s="102"/>
      <c r="C847" s="102"/>
      <c r="D847" s="102"/>
      <c r="E847" s="102"/>
      <c r="F847" s="102"/>
      <c r="G847" s="102"/>
      <c r="H847" s="102"/>
      <c r="I847" s="102"/>
      <c r="J847" s="99"/>
      <c r="K847" s="99"/>
      <c r="L847" s="46"/>
      <c r="M847" s="6"/>
    </row>
    <row r="848" spans="1:13" ht="18">
      <c r="A848" s="3">
        <v>18</v>
      </c>
      <c r="B848" s="102"/>
      <c r="C848" s="102"/>
      <c r="D848" s="102"/>
      <c r="E848" s="102"/>
      <c r="F848" s="102"/>
      <c r="G848" s="102"/>
      <c r="H848" s="102"/>
      <c r="I848" s="102"/>
      <c r="J848" s="99"/>
      <c r="K848" s="99"/>
      <c r="L848" s="46"/>
      <c r="M848" s="6"/>
    </row>
    <row r="849" spans="1:13" ht="18">
      <c r="A849" s="3">
        <v>19</v>
      </c>
      <c r="B849" s="102"/>
      <c r="C849" s="102"/>
      <c r="D849" s="102"/>
      <c r="E849" s="102"/>
      <c r="F849" s="102"/>
      <c r="G849" s="102"/>
      <c r="H849" s="102"/>
      <c r="I849" s="102"/>
      <c r="J849" s="99"/>
      <c r="K849" s="99"/>
      <c r="L849" s="46"/>
      <c r="M849" s="6"/>
    </row>
    <row r="850" spans="1:13" ht="18">
      <c r="A850" s="3">
        <v>20</v>
      </c>
      <c r="B850" s="102"/>
      <c r="C850" s="102"/>
      <c r="D850" s="102"/>
      <c r="E850" s="102"/>
      <c r="F850" s="102"/>
      <c r="G850" s="102"/>
      <c r="H850" s="102"/>
      <c r="I850" s="102"/>
      <c r="J850" s="99"/>
      <c r="K850" s="99"/>
      <c r="L850" s="46"/>
      <c r="M850" s="6"/>
    </row>
    <row r="851" spans="1:13" ht="18">
      <c r="A851" s="3">
        <v>21</v>
      </c>
      <c r="B851" s="102"/>
      <c r="C851" s="102"/>
      <c r="D851" s="102"/>
      <c r="E851" s="102"/>
      <c r="F851" s="102"/>
      <c r="G851" s="102"/>
      <c r="H851" s="102"/>
      <c r="I851" s="102"/>
      <c r="J851" s="99"/>
      <c r="K851" s="99"/>
      <c r="L851" s="46"/>
      <c r="M851" s="6"/>
    </row>
    <row r="852" spans="1:13" ht="18">
      <c r="A852" s="3">
        <v>22</v>
      </c>
      <c r="B852" s="102"/>
      <c r="C852" s="102"/>
      <c r="D852" s="102"/>
      <c r="E852" s="102"/>
      <c r="F852" s="102"/>
      <c r="G852" s="102"/>
      <c r="H852" s="102"/>
      <c r="I852" s="102"/>
      <c r="J852" s="99"/>
      <c r="K852" s="99"/>
      <c r="L852" s="46"/>
      <c r="M852" s="6"/>
    </row>
    <row r="853" spans="1:13" ht="18">
      <c r="A853" s="3">
        <v>23</v>
      </c>
      <c r="B853" s="102"/>
      <c r="C853" s="102"/>
      <c r="D853" s="102"/>
      <c r="E853" s="102"/>
      <c r="F853" s="102"/>
      <c r="G853" s="102"/>
      <c r="H853" s="102"/>
      <c r="I853" s="102"/>
      <c r="J853" s="99"/>
      <c r="K853" s="99"/>
      <c r="L853" s="46"/>
      <c r="M853" s="6"/>
    </row>
    <row r="854" spans="1:13" ht="18">
      <c r="A854" s="3">
        <v>24</v>
      </c>
      <c r="B854" s="102"/>
      <c r="C854" s="102"/>
      <c r="D854" s="102"/>
      <c r="E854" s="102"/>
      <c r="F854" s="102"/>
      <c r="G854" s="102"/>
      <c r="H854" s="102"/>
      <c r="I854" s="102"/>
      <c r="J854" s="99"/>
      <c r="K854" s="99"/>
      <c r="L854" s="46"/>
      <c r="M854" s="6"/>
    </row>
    <row r="855" spans="1:13" ht="18">
      <c r="A855" s="3">
        <v>25</v>
      </c>
      <c r="B855" s="102"/>
      <c r="C855" s="102"/>
      <c r="D855" s="102"/>
      <c r="E855" s="102"/>
      <c r="F855" s="102"/>
      <c r="G855" s="102"/>
      <c r="H855" s="102"/>
      <c r="I855" s="102"/>
      <c r="J855" s="99"/>
      <c r="K855" s="99"/>
      <c r="L855" s="46"/>
      <c r="M855" s="6"/>
    </row>
    <row r="856" spans="1:13" ht="18">
      <c r="A856" s="3">
        <v>26</v>
      </c>
      <c r="B856" s="102"/>
      <c r="C856" s="102"/>
      <c r="D856" s="102"/>
      <c r="E856" s="102"/>
      <c r="F856" s="102"/>
      <c r="G856" s="102"/>
      <c r="H856" s="102"/>
      <c r="I856" s="102"/>
      <c r="J856" s="99"/>
      <c r="K856" s="99"/>
      <c r="L856" s="46"/>
      <c r="M856" s="6"/>
    </row>
    <row r="857" spans="1:13" ht="18">
      <c r="A857" s="3">
        <v>27</v>
      </c>
      <c r="B857" s="102"/>
      <c r="C857" s="102"/>
      <c r="D857" s="102"/>
      <c r="E857" s="102"/>
      <c r="F857" s="102"/>
      <c r="G857" s="102"/>
      <c r="H857" s="102"/>
      <c r="I857" s="102"/>
      <c r="J857" s="99"/>
      <c r="K857" s="99"/>
      <c r="L857" s="46"/>
      <c r="M857" s="6"/>
    </row>
    <row r="858" spans="1:13" ht="18">
      <c r="A858" s="3">
        <v>28</v>
      </c>
      <c r="B858" s="102"/>
      <c r="C858" s="102"/>
      <c r="D858" s="102"/>
      <c r="E858" s="102"/>
      <c r="F858" s="102"/>
      <c r="G858" s="102"/>
      <c r="H858" s="102"/>
      <c r="I858" s="102"/>
      <c r="J858" s="99"/>
      <c r="K858" s="99"/>
      <c r="L858" s="46"/>
      <c r="M858" s="6"/>
    </row>
    <row r="859" spans="1:13">
      <c r="B859" s="102"/>
      <c r="C859" s="102"/>
      <c r="D859" s="102"/>
      <c r="E859" s="102"/>
      <c r="F859" s="102"/>
      <c r="G859" s="102"/>
      <c r="H859" s="102"/>
      <c r="I859" s="102"/>
      <c r="J859" s="99"/>
      <c r="K859" s="99"/>
      <c r="L859" s="46"/>
      <c r="M859" s="6"/>
    </row>
    <row r="860" spans="1:13">
      <c r="B860" s="97"/>
      <c r="C860" s="98"/>
      <c r="D860" s="97"/>
      <c r="E860" s="98"/>
      <c r="F860" s="97"/>
      <c r="G860" s="98"/>
      <c r="H860" s="97"/>
      <c r="I860" s="98"/>
      <c r="J860" s="99"/>
      <c r="K860" s="99"/>
      <c r="L860" s="46"/>
      <c r="M860" s="6"/>
    </row>
    <row r="861" spans="1:13">
      <c r="B861" s="93"/>
      <c r="C861" s="94"/>
      <c r="D861" s="93"/>
      <c r="E861" s="94"/>
      <c r="F861" s="93"/>
      <c r="G861" s="94"/>
      <c r="H861" s="93"/>
      <c r="I861" s="94"/>
      <c r="J861" s="95"/>
      <c r="K861" s="96"/>
      <c r="L861" s="46"/>
      <c r="M861" s="6"/>
    </row>
    <row r="862" spans="1:13">
      <c r="M862" s="6"/>
    </row>
    <row r="863" spans="1:13">
      <c r="B863" s="7" t="str">
        <f>kopsavilkums!$J$2</f>
        <v>Dizšvētku Zolītes finālturnīrs Valkā 2026 (RONDO)</v>
      </c>
    </row>
    <row r="865" spans="1:18">
      <c r="G865" s="41" t="s">
        <v>62</v>
      </c>
      <c r="H865" s="43">
        <f>IF(kopsavilkums!$E$2="","",kopsavilkums!$E$2)</f>
        <v>8</v>
      </c>
    </row>
    <row r="867" spans="1:18" ht="15.75">
      <c r="B867" s="103" t="str">
        <f>IF(N867="","",INDEX(kopsavilkums!$C$6:$C$125,N867))</f>
        <v/>
      </c>
      <c r="C867" s="104"/>
      <c r="D867" s="103" t="str">
        <f>IF(O867="","",INDEX(kopsavilkums!$C$6:$C$125,O867))</f>
        <v/>
      </c>
      <c r="E867" s="104"/>
      <c r="F867" s="103" t="str">
        <f>IF(P867="","",INDEX(kopsavilkums!$C$6:$C$125,P867))</f>
        <v/>
      </c>
      <c r="G867" s="104"/>
      <c r="H867" s="103" t="str">
        <f>IF(Q867="","",INDEX(kopsavilkums!$C$6:$C$125,Q867))</f>
        <v/>
      </c>
      <c r="I867" s="104"/>
      <c r="J867" s="103" t="str">
        <f>IF(R867="","",INDEX(kopsavilkums!$C$6:$C$125,R867))</f>
        <v/>
      </c>
      <c r="K867" s="104"/>
      <c r="N867" t="str">
        <f>IF(1&gt;IF(22&lt;=(INT(kopsavilkums!$V$2/4)-MOD(kopsavilkums!$V$2,4)),4,IF(22&lt;=INT(kopsavilkums!$V$2/4),5,0)),"",IFERROR(MATCH((IF(22&lt;=(INT(kopsavilkums!$V$2/4)-MOD(kopsavilkums!$V$2,4)),(22-1)*4,(INT(kopsavilkums!$V$2/4)-MOD(kopsavilkums!$V$2,4))*4+(22-(INT(kopsavilkums!$V$2/4)-MOD(kopsavilkums!$V$2,4))-1)*5)+1),kopsavilkums!$X$6:$X$125,0),""))</f>
        <v/>
      </c>
      <c r="O867" t="str">
        <f>IF(2&gt;IF(22&lt;=(INT(kopsavilkums!$V$2/4)-MOD(kopsavilkums!$V$2,4)),4,IF(22&lt;=INT(kopsavilkums!$V$2/4),5,0)),"",IFERROR(MATCH((IF(22&lt;=(INT(kopsavilkums!$V$2/4)-MOD(kopsavilkums!$V$2,4)),(22-1)*4,(INT(kopsavilkums!$V$2/4)-MOD(kopsavilkums!$V$2,4))*4+(22-(INT(kopsavilkums!$V$2/4)-MOD(kopsavilkums!$V$2,4))-1)*5)+2),kopsavilkums!$X$6:$X$125,0),""))</f>
        <v/>
      </c>
      <c r="P867" t="str">
        <f>IF(3&gt;IF(22&lt;=(INT(kopsavilkums!$V$2/4)-MOD(kopsavilkums!$V$2,4)),4,IF(22&lt;=INT(kopsavilkums!$V$2/4),5,0)),"",IFERROR(MATCH((IF(22&lt;=(INT(kopsavilkums!$V$2/4)-MOD(kopsavilkums!$V$2,4)),(22-1)*4,(INT(kopsavilkums!$V$2/4)-MOD(kopsavilkums!$V$2,4))*4+(22-(INT(kopsavilkums!$V$2/4)-MOD(kopsavilkums!$V$2,4))-1)*5)+3),kopsavilkums!$X$6:$X$125,0),""))</f>
        <v/>
      </c>
      <c r="Q867" t="str">
        <f>IF(4&gt;IF(22&lt;=(INT(kopsavilkums!$V$2/4)-MOD(kopsavilkums!$V$2,4)),4,IF(22&lt;=INT(kopsavilkums!$V$2/4),5,0)),"",IFERROR(MATCH((IF(22&lt;=(INT(kopsavilkums!$V$2/4)-MOD(kopsavilkums!$V$2,4)),(22-1)*4,(INT(kopsavilkums!$V$2/4)-MOD(kopsavilkums!$V$2,4))*4+(22-(INT(kopsavilkums!$V$2/4)-MOD(kopsavilkums!$V$2,4))-1)*5)+4),kopsavilkums!$X$6:$X$125,0),""))</f>
        <v/>
      </c>
      <c r="R867" t="str">
        <f>IF(5&gt;IF(22&lt;=(INT(kopsavilkums!$V$2/4)-MOD(kopsavilkums!$V$2,4)),4,IF(22&lt;=INT(kopsavilkums!$V$2/4),5,0)),"",IFERROR(MATCH((IF(22&lt;=(INT(kopsavilkums!$V$2/4)-MOD(kopsavilkums!$V$2,4)),(22-1)*4,(INT(kopsavilkums!$V$2/4)-MOD(kopsavilkums!$V$2,4))*4+(22-(INT(kopsavilkums!$V$2/4)-MOD(kopsavilkums!$V$2,4))-1)*5)+5),kopsavilkums!$X$6:$X$125,0),""))</f>
        <v/>
      </c>
    </row>
    <row r="868" spans="1:18" ht="15.75">
      <c r="A868" s="4" t="s">
        <v>63</v>
      </c>
      <c r="B868" s="105" t="str">
        <f>IF(B867="","",22)</f>
        <v/>
      </c>
      <c r="C868" s="105"/>
      <c r="D868" s="105" t="str">
        <f>IF(D867="","",22)</f>
        <v/>
      </c>
      <c r="E868" s="105"/>
      <c r="F868" s="105" t="str">
        <f>IF(F867="","",22)</f>
        <v/>
      </c>
      <c r="G868" s="105"/>
      <c r="H868" s="105" t="str">
        <f>IF(H867="","",22)</f>
        <v/>
      </c>
      <c r="I868" s="105"/>
      <c r="J868" s="105" t="str">
        <f>IF(J867="","",22)</f>
        <v/>
      </c>
      <c r="K868" s="105"/>
    </row>
    <row r="869" spans="1:18" ht="15.75">
      <c r="A869" s="5" t="s">
        <v>64</v>
      </c>
      <c r="B869" s="8" t="str">
        <f>IF(N867="","",INDEX(kopsavilkums!$T$6:$T$125,N867))</f>
        <v/>
      </c>
      <c r="C869" s="8" t="str">
        <f>IF(N867="","",INDEX(kopsavilkums!$U$6:$U$125,N867))</f>
        <v/>
      </c>
      <c r="D869" s="8" t="str">
        <f>IF(O867="","",INDEX(kopsavilkums!$T$6:$T$125,O867))</f>
        <v/>
      </c>
      <c r="E869" s="8" t="str">
        <f>IF(O867="","",INDEX(kopsavilkums!$U$6:$U$125,O867))</f>
        <v/>
      </c>
      <c r="F869" s="8" t="str">
        <f>IF(P867="","",INDEX(kopsavilkums!$T$6:$T$125,P867))</f>
        <v/>
      </c>
      <c r="G869" s="8" t="str">
        <f>IF(P867="","",INDEX(kopsavilkums!$U$6:$U$125,P867))</f>
        <v/>
      </c>
      <c r="H869" s="8" t="str">
        <f>IF(Q867="","",INDEX(kopsavilkums!$T$6:$T$125,Q867))</f>
        <v/>
      </c>
      <c r="I869" s="8" t="str">
        <f>IF(Q867="","",INDEX(kopsavilkums!$U$6:$U$125,Q867))</f>
        <v/>
      </c>
      <c r="J869" s="8" t="str">
        <f>IF(R867="","",INDEX(kopsavilkums!$T$6:$T$125,R867))</f>
        <v/>
      </c>
      <c r="K869" s="8" t="str">
        <f>IF(R867="","",INDEX(kopsavilkums!$U$6:$U$125,R867))</f>
        <v/>
      </c>
    </row>
    <row r="870" spans="1:18">
      <c r="L870" s="17" t="s">
        <v>66</v>
      </c>
      <c r="M870" s="18"/>
    </row>
    <row r="871" spans="1:18">
      <c r="M871" s="2"/>
    </row>
    <row r="872" spans="1:18" ht="18">
      <c r="A872" s="3">
        <v>1</v>
      </c>
      <c r="B872" s="102"/>
      <c r="C872" s="102"/>
      <c r="D872" s="102"/>
      <c r="E872" s="102"/>
      <c r="F872" s="102"/>
      <c r="G872" s="102"/>
      <c r="H872" s="102"/>
      <c r="I872" s="102"/>
      <c r="J872" s="99"/>
      <c r="K872" s="99"/>
      <c r="L872" s="46"/>
      <c r="M872" s="6"/>
    </row>
    <row r="873" spans="1:18" ht="18">
      <c r="A873" s="3">
        <v>2</v>
      </c>
      <c r="B873" s="102"/>
      <c r="C873" s="102"/>
      <c r="D873" s="102"/>
      <c r="E873" s="102"/>
      <c r="F873" s="102"/>
      <c r="G873" s="102"/>
      <c r="H873" s="102"/>
      <c r="I873" s="102"/>
      <c r="J873" s="99"/>
      <c r="K873" s="99"/>
      <c r="L873" s="46"/>
      <c r="M873" s="6"/>
    </row>
    <row r="874" spans="1:18" ht="18">
      <c r="A874" s="3">
        <v>3</v>
      </c>
      <c r="B874" s="102"/>
      <c r="C874" s="102"/>
      <c r="D874" s="102"/>
      <c r="E874" s="102"/>
      <c r="F874" s="102"/>
      <c r="G874" s="102"/>
      <c r="H874" s="102"/>
      <c r="I874" s="102"/>
      <c r="J874" s="99"/>
      <c r="K874" s="99"/>
      <c r="L874" s="46"/>
      <c r="M874" s="6"/>
    </row>
    <row r="875" spans="1:18" ht="18">
      <c r="A875" s="3">
        <v>4</v>
      </c>
      <c r="B875" s="102"/>
      <c r="C875" s="102"/>
      <c r="D875" s="102"/>
      <c r="E875" s="102"/>
      <c r="F875" s="102"/>
      <c r="G875" s="102"/>
      <c r="H875" s="102"/>
      <c r="I875" s="102"/>
      <c r="J875" s="99"/>
      <c r="K875" s="99"/>
      <c r="L875" s="46"/>
      <c r="M875" s="6"/>
    </row>
    <row r="876" spans="1:18" ht="18">
      <c r="A876" s="3">
        <v>5</v>
      </c>
      <c r="B876" s="102"/>
      <c r="C876" s="102"/>
      <c r="D876" s="102"/>
      <c r="E876" s="102"/>
      <c r="F876" s="102"/>
      <c r="G876" s="102"/>
      <c r="H876" s="102"/>
      <c r="I876" s="102"/>
      <c r="J876" s="99"/>
      <c r="K876" s="99"/>
      <c r="L876" s="46"/>
      <c r="M876" s="6"/>
    </row>
    <row r="877" spans="1:18" ht="18">
      <c r="A877" s="3">
        <v>6</v>
      </c>
      <c r="B877" s="102"/>
      <c r="C877" s="102"/>
      <c r="D877" s="102"/>
      <c r="E877" s="102"/>
      <c r="F877" s="102"/>
      <c r="G877" s="102"/>
      <c r="H877" s="102"/>
      <c r="I877" s="102"/>
      <c r="J877" s="99"/>
      <c r="K877" s="99"/>
      <c r="L877" s="46"/>
      <c r="M877" s="6"/>
    </row>
    <row r="878" spans="1:18" ht="18">
      <c r="A878" s="3">
        <v>7</v>
      </c>
      <c r="B878" s="102"/>
      <c r="C878" s="102"/>
      <c r="D878" s="102"/>
      <c r="E878" s="102"/>
      <c r="F878" s="102"/>
      <c r="G878" s="102"/>
      <c r="H878" s="102"/>
      <c r="I878" s="102"/>
      <c r="J878" s="99"/>
      <c r="K878" s="99"/>
      <c r="L878" s="46"/>
      <c r="M878" s="6"/>
    </row>
    <row r="879" spans="1:18" ht="18">
      <c r="A879" s="3">
        <v>8</v>
      </c>
      <c r="B879" s="102"/>
      <c r="C879" s="102"/>
      <c r="D879" s="102"/>
      <c r="E879" s="102"/>
      <c r="F879" s="102"/>
      <c r="G879" s="102"/>
      <c r="H879" s="102"/>
      <c r="I879" s="102"/>
      <c r="J879" s="99"/>
      <c r="K879" s="99"/>
      <c r="L879" s="46"/>
      <c r="M879" s="6"/>
    </row>
    <row r="880" spans="1:18" ht="18">
      <c r="A880" s="3">
        <v>9</v>
      </c>
      <c r="B880" s="102"/>
      <c r="C880" s="102"/>
      <c r="D880" s="102"/>
      <c r="E880" s="102"/>
      <c r="F880" s="102"/>
      <c r="G880" s="102"/>
      <c r="H880" s="102"/>
      <c r="I880" s="102"/>
      <c r="J880" s="99"/>
      <c r="K880" s="99"/>
      <c r="L880" s="46"/>
      <c r="M880" s="6"/>
    </row>
    <row r="881" spans="1:13" ht="18">
      <c r="A881" s="3">
        <v>10</v>
      </c>
      <c r="B881" s="102"/>
      <c r="C881" s="102"/>
      <c r="D881" s="102"/>
      <c r="E881" s="102"/>
      <c r="F881" s="102"/>
      <c r="G881" s="102"/>
      <c r="H881" s="102"/>
      <c r="I881" s="102"/>
      <c r="J881" s="99"/>
      <c r="K881" s="99"/>
      <c r="L881" s="46"/>
      <c r="M881" s="6"/>
    </row>
    <row r="882" spans="1:13" ht="18">
      <c r="A882" s="3">
        <v>11</v>
      </c>
      <c r="B882" s="102"/>
      <c r="C882" s="102"/>
      <c r="D882" s="102"/>
      <c r="E882" s="102"/>
      <c r="F882" s="102"/>
      <c r="G882" s="102"/>
      <c r="H882" s="102"/>
      <c r="I882" s="102"/>
      <c r="J882" s="99"/>
      <c r="K882" s="99"/>
      <c r="L882" s="46"/>
      <c r="M882" s="6"/>
    </row>
    <row r="883" spans="1:13" ht="18">
      <c r="A883" s="3">
        <v>12</v>
      </c>
      <c r="B883" s="102"/>
      <c r="C883" s="102"/>
      <c r="D883" s="102"/>
      <c r="E883" s="102"/>
      <c r="F883" s="102"/>
      <c r="G883" s="102"/>
      <c r="H883" s="102"/>
      <c r="I883" s="102"/>
      <c r="J883" s="99"/>
      <c r="K883" s="99"/>
      <c r="L883" s="46"/>
      <c r="M883" s="6"/>
    </row>
    <row r="884" spans="1:13" ht="18">
      <c r="A884" s="3">
        <v>13</v>
      </c>
      <c r="B884" s="102"/>
      <c r="C884" s="102"/>
      <c r="D884" s="102"/>
      <c r="E884" s="102"/>
      <c r="F884" s="102"/>
      <c r="G884" s="102"/>
      <c r="H884" s="102"/>
      <c r="I884" s="102"/>
      <c r="J884" s="99"/>
      <c r="K884" s="99"/>
      <c r="L884" s="46"/>
      <c r="M884" s="6"/>
    </row>
    <row r="885" spans="1:13" ht="18">
      <c r="A885" s="3">
        <v>14</v>
      </c>
      <c r="B885" s="102"/>
      <c r="C885" s="102"/>
      <c r="D885" s="102"/>
      <c r="E885" s="102"/>
      <c r="F885" s="102"/>
      <c r="G885" s="102"/>
      <c r="H885" s="102"/>
      <c r="I885" s="102"/>
      <c r="J885" s="99"/>
      <c r="K885" s="99"/>
      <c r="L885" s="46"/>
      <c r="M885" s="6"/>
    </row>
    <row r="886" spans="1:13" ht="18">
      <c r="A886" s="3">
        <v>15</v>
      </c>
      <c r="B886" s="102"/>
      <c r="C886" s="102"/>
      <c r="D886" s="102"/>
      <c r="E886" s="102"/>
      <c r="F886" s="102"/>
      <c r="G886" s="102"/>
      <c r="H886" s="102"/>
      <c r="I886" s="102"/>
      <c r="J886" s="99"/>
      <c r="K886" s="99"/>
      <c r="L886" s="46"/>
      <c r="M886" s="6"/>
    </row>
    <row r="887" spans="1:13" ht="18">
      <c r="A887" s="3">
        <v>16</v>
      </c>
      <c r="B887" s="102"/>
      <c r="C887" s="102"/>
      <c r="D887" s="102"/>
      <c r="E887" s="102"/>
      <c r="F887" s="102"/>
      <c r="G887" s="102"/>
      <c r="H887" s="102"/>
      <c r="I887" s="102"/>
      <c r="J887" s="99"/>
      <c r="K887" s="99"/>
      <c r="L887" s="46"/>
      <c r="M887" s="6"/>
    </row>
    <row r="888" spans="1:13" ht="18">
      <c r="A888" s="3">
        <v>17</v>
      </c>
      <c r="B888" s="102"/>
      <c r="C888" s="102"/>
      <c r="D888" s="102"/>
      <c r="E888" s="102"/>
      <c r="F888" s="102"/>
      <c r="G888" s="102"/>
      <c r="H888" s="102"/>
      <c r="I888" s="102"/>
      <c r="J888" s="99"/>
      <c r="K888" s="99"/>
      <c r="L888" s="46"/>
      <c r="M888" s="6"/>
    </row>
    <row r="889" spans="1:13" ht="18">
      <c r="A889" s="3">
        <v>18</v>
      </c>
      <c r="B889" s="102"/>
      <c r="C889" s="102"/>
      <c r="D889" s="102"/>
      <c r="E889" s="102"/>
      <c r="F889" s="102"/>
      <c r="G889" s="102"/>
      <c r="H889" s="102"/>
      <c r="I889" s="102"/>
      <c r="J889" s="99"/>
      <c r="K889" s="99"/>
      <c r="L889" s="46"/>
      <c r="M889" s="6"/>
    </row>
    <row r="890" spans="1:13" ht="18">
      <c r="A890" s="3">
        <v>19</v>
      </c>
      <c r="B890" s="102"/>
      <c r="C890" s="102"/>
      <c r="D890" s="102"/>
      <c r="E890" s="102"/>
      <c r="F890" s="102"/>
      <c r="G890" s="102"/>
      <c r="H890" s="102"/>
      <c r="I890" s="102"/>
      <c r="J890" s="99"/>
      <c r="K890" s="99"/>
      <c r="L890" s="46"/>
      <c r="M890" s="6"/>
    </row>
    <row r="891" spans="1:13" ht="18">
      <c r="A891" s="3">
        <v>20</v>
      </c>
      <c r="B891" s="102"/>
      <c r="C891" s="102"/>
      <c r="D891" s="102"/>
      <c r="E891" s="102"/>
      <c r="F891" s="102"/>
      <c r="G891" s="102"/>
      <c r="H891" s="102"/>
      <c r="I891" s="102"/>
      <c r="J891" s="99"/>
      <c r="K891" s="99"/>
      <c r="L891" s="46"/>
      <c r="M891" s="6"/>
    </row>
    <row r="892" spans="1:13" ht="18">
      <c r="A892" s="3">
        <v>21</v>
      </c>
      <c r="B892" s="102"/>
      <c r="C892" s="102"/>
      <c r="D892" s="102"/>
      <c r="E892" s="102"/>
      <c r="F892" s="102"/>
      <c r="G892" s="102"/>
      <c r="H892" s="102"/>
      <c r="I892" s="102"/>
      <c r="J892" s="99"/>
      <c r="K892" s="99"/>
      <c r="L892" s="46"/>
      <c r="M892" s="6"/>
    </row>
    <row r="893" spans="1:13" ht="18">
      <c r="A893" s="3">
        <v>22</v>
      </c>
      <c r="B893" s="102"/>
      <c r="C893" s="102"/>
      <c r="D893" s="102"/>
      <c r="E893" s="102"/>
      <c r="F893" s="102"/>
      <c r="G893" s="102"/>
      <c r="H893" s="102"/>
      <c r="I893" s="102"/>
      <c r="J893" s="99"/>
      <c r="K893" s="99"/>
      <c r="L893" s="46"/>
      <c r="M893" s="6"/>
    </row>
    <row r="894" spans="1:13" ht="18">
      <c r="A894" s="3">
        <v>23</v>
      </c>
      <c r="B894" s="102"/>
      <c r="C894" s="102"/>
      <c r="D894" s="102"/>
      <c r="E894" s="102"/>
      <c r="F894" s="102"/>
      <c r="G894" s="102"/>
      <c r="H894" s="102"/>
      <c r="I894" s="102"/>
      <c r="J894" s="99"/>
      <c r="K894" s="99"/>
      <c r="L894" s="46"/>
      <c r="M894" s="6"/>
    </row>
    <row r="895" spans="1:13" ht="18">
      <c r="A895" s="3">
        <v>24</v>
      </c>
      <c r="B895" s="102"/>
      <c r="C895" s="102"/>
      <c r="D895" s="102"/>
      <c r="E895" s="102"/>
      <c r="F895" s="102"/>
      <c r="G895" s="102"/>
      <c r="H895" s="102"/>
      <c r="I895" s="102"/>
      <c r="J895" s="99"/>
      <c r="K895" s="99"/>
      <c r="L895" s="46"/>
      <c r="M895" s="6"/>
    </row>
    <row r="896" spans="1:13" ht="18">
      <c r="A896" s="3">
        <v>25</v>
      </c>
      <c r="B896" s="102"/>
      <c r="C896" s="102"/>
      <c r="D896" s="102"/>
      <c r="E896" s="102"/>
      <c r="F896" s="102"/>
      <c r="G896" s="102"/>
      <c r="H896" s="102"/>
      <c r="I896" s="102"/>
      <c r="J896" s="99"/>
      <c r="K896" s="99"/>
      <c r="L896" s="46"/>
      <c r="M896" s="6"/>
    </row>
    <row r="897" spans="1:18" ht="18">
      <c r="A897" s="3">
        <v>26</v>
      </c>
      <c r="B897" s="102"/>
      <c r="C897" s="102"/>
      <c r="D897" s="102"/>
      <c r="E897" s="102"/>
      <c r="F897" s="102"/>
      <c r="G897" s="102"/>
      <c r="H897" s="102"/>
      <c r="I897" s="102"/>
      <c r="J897" s="99"/>
      <c r="K897" s="99"/>
      <c r="L897" s="46"/>
      <c r="M897" s="6"/>
    </row>
    <row r="898" spans="1:18" ht="18">
      <c r="A898" s="3">
        <v>27</v>
      </c>
      <c r="B898" s="102"/>
      <c r="C898" s="102"/>
      <c r="D898" s="102"/>
      <c r="E898" s="102"/>
      <c r="F898" s="102"/>
      <c r="G898" s="102"/>
      <c r="H898" s="102"/>
      <c r="I898" s="102"/>
      <c r="J898" s="99"/>
      <c r="K898" s="99"/>
      <c r="L898" s="46"/>
      <c r="M898" s="6"/>
    </row>
    <row r="899" spans="1:18" ht="18">
      <c r="A899" s="3">
        <v>28</v>
      </c>
      <c r="B899" s="102"/>
      <c r="C899" s="102"/>
      <c r="D899" s="102"/>
      <c r="E899" s="102"/>
      <c r="F899" s="102"/>
      <c r="G899" s="102"/>
      <c r="H899" s="102"/>
      <c r="I899" s="102"/>
      <c r="J899" s="99"/>
      <c r="K899" s="99"/>
      <c r="L899" s="46"/>
      <c r="M899" s="6"/>
    </row>
    <row r="900" spans="1:18">
      <c r="B900" s="102"/>
      <c r="C900" s="102"/>
      <c r="D900" s="102"/>
      <c r="E900" s="102"/>
      <c r="F900" s="102"/>
      <c r="G900" s="102"/>
      <c r="H900" s="102"/>
      <c r="I900" s="102"/>
      <c r="J900" s="99"/>
      <c r="K900" s="99"/>
      <c r="L900" s="46"/>
      <c r="M900" s="6"/>
    </row>
    <row r="901" spans="1:18">
      <c r="B901" s="97"/>
      <c r="C901" s="98"/>
      <c r="D901" s="97"/>
      <c r="E901" s="98"/>
      <c r="F901" s="97"/>
      <c r="G901" s="98"/>
      <c r="H901" s="97"/>
      <c r="I901" s="98"/>
      <c r="J901" s="99"/>
      <c r="K901" s="99"/>
      <c r="L901" s="46"/>
      <c r="M901" s="6"/>
    </row>
    <row r="902" spans="1:18">
      <c r="B902" s="93"/>
      <c r="C902" s="94"/>
      <c r="D902" s="93"/>
      <c r="E902" s="94"/>
      <c r="F902" s="93"/>
      <c r="G902" s="94"/>
      <c r="H902" s="93"/>
      <c r="I902" s="94"/>
      <c r="J902" s="95"/>
      <c r="K902" s="96"/>
      <c r="L902" s="46"/>
      <c r="M902" s="6"/>
    </row>
    <row r="903" spans="1:18">
      <c r="M903" s="6"/>
    </row>
    <row r="904" spans="1:18">
      <c r="B904" s="7" t="str">
        <f>kopsavilkums!$J$2</f>
        <v>Dizšvētku Zolītes finālturnīrs Valkā 2026 (RONDO)</v>
      </c>
    </row>
    <row r="906" spans="1:18">
      <c r="G906" s="41" t="s">
        <v>62</v>
      </c>
      <c r="H906" s="43">
        <f>IF(kopsavilkums!$E$2="","",kopsavilkums!$E$2)</f>
        <v>8</v>
      </c>
    </row>
    <row r="908" spans="1:18" ht="15.75">
      <c r="B908" s="103" t="str">
        <f>IF(N908="","",INDEX(kopsavilkums!$C$6:$C$125,N908))</f>
        <v/>
      </c>
      <c r="C908" s="104"/>
      <c r="D908" s="103" t="str">
        <f>IF(O908="","",INDEX(kopsavilkums!$C$6:$C$125,O908))</f>
        <v/>
      </c>
      <c r="E908" s="104"/>
      <c r="F908" s="103" t="str">
        <f>IF(P908="","",INDEX(kopsavilkums!$C$6:$C$125,P908))</f>
        <v/>
      </c>
      <c r="G908" s="104"/>
      <c r="H908" s="103" t="str">
        <f>IF(Q908="","",INDEX(kopsavilkums!$C$6:$C$125,Q908))</f>
        <v/>
      </c>
      <c r="I908" s="104"/>
      <c r="J908" s="103" t="str">
        <f>IF(R908="","",INDEX(kopsavilkums!$C$6:$C$125,R908))</f>
        <v/>
      </c>
      <c r="K908" s="104"/>
      <c r="N908" t="str">
        <f>IF(1&gt;IF(23&lt;=(INT(kopsavilkums!$V$2/4)-MOD(kopsavilkums!$V$2,4)),4,IF(23&lt;=INT(kopsavilkums!$V$2/4),5,0)),"",IFERROR(MATCH((IF(23&lt;=(INT(kopsavilkums!$V$2/4)-MOD(kopsavilkums!$V$2,4)),(23-1)*4,(INT(kopsavilkums!$V$2/4)-MOD(kopsavilkums!$V$2,4))*4+(23-(INT(kopsavilkums!$V$2/4)-MOD(kopsavilkums!$V$2,4))-1)*5)+1),kopsavilkums!$X$6:$X$125,0),""))</f>
        <v/>
      </c>
      <c r="O908" t="str">
        <f>IF(2&gt;IF(23&lt;=(INT(kopsavilkums!$V$2/4)-MOD(kopsavilkums!$V$2,4)),4,IF(23&lt;=INT(kopsavilkums!$V$2/4),5,0)),"",IFERROR(MATCH((IF(23&lt;=(INT(kopsavilkums!$V$2/4)-MOD(kopsavilkums!$V$2,4)),(23-1)*4,(INT(kopsavilkums!$V$2/4)-MOD(kopsavilkums!$V$2,4))*4+(23-(INT(kopsavilkums!$V$2/4)-MOD(kopsavilkums!$V$2,4))-1)*5)+2),kopsavilkums!$X$6:$X$125,0),""))</f>
        <v/>
      </c>
      <c r="P908" t="str">
        <f>IF(3&gt;IF(23&lt;=(INT(kopsavilkums!$V$2/4)-MOD(kopsavilkums!$V$2,4)),4,IF(23&lt;=INT(kopsavilkums!$V$2/4),5,0)),"",IFERROR(MATCH((IF(23&lt;=(INT(kopsavilkums!$V$2/4)-MOD(kopsavilkums!$V$2,4)),(23-1)*4,(INT(kopsavilkums!$V$2/4)-MOD(kopsavilkums!$V$2,4))*4+(23-(INT(kopsavilkums!$V$2/4)-MOD(kopsavilkums!$V$2,4))-1)*5)+3),kopsavilkums!$X$6:$X$125,0),""))</f>
        <v/>
      </c>
      <c r="Q908" t="str">
        <f>IF(4&gt;IF(23&lt;=(INT(kopsavilkums!$V$2/4)-MOD(kopsavilkums!$V$2,4)),4,IF(23&lt;=INT(kopsavilkums!$V$2/4),5,0)),"",IFERROR(MATCH((IF(23&lt;=(INT(kopsavilkums!$V$2/4)-MOD(kopsavilkums!$V$2,4)),(23-1)*4,(INT(kopsavilkums!$V$2/4)-MOD(kopsavilkums!$V$2,4))*4+(23-(INT(kopsavilkums!$V$2/4)-MOD(kopsavilkums!$V$2,4))-1)*5)+4),kopsavilkums!$X$6:$X$125,0),""))</f>
        <v/>
      </c>
      <c r="R908" t="str">
        <f>IF(5&gt;IF(23&lt;=(INT(kopsavilkums!$V$2/4)-MOD(kopsavilkums!$V$2,4)),4,IF(23&lt;=INT(kopsavilkums!$V$2/4),5,0)),"",IFERROR(MATCH((IF(23&lt;=(INT(kopsavilkums!$V$2/4)-MOD(kopsavilkums!$V$2,4)),(23-1)*4,(INT(kopsavilkums!$V$2/4)-MOD(kopsavilkums!$V$2,4))*4+(23-(INT(kopsavilkums!$V$2/4)-MOD(kopsavilkums!$V$2,4))-1)*5)+5),kopsavilkums!$X$6:$X$125,0),""))</f>
        <v/>
      </c>
    </row>
    <row r="909" spans="1:18" ht="15.75">
      <c r="A909" s="4" t="s">
        <v>63</v>
      </c>
      <c r="B909" s="105" t="str">
        <f>IF(B908="","",23)</f>
        <v/>
      </c>
      <c r="C909" s="105"/>
      <c r="D909" s="105" t="str">
        <f>IF(D908="","",23)</f>
        <v/>
      </c>
      <c r="E909" s="105"/>
      <c r="F909" s="105" t="str">
        <f>IF(F908="","",23)</f>
        <v/>
      </c>
      <c r="G909" s="105"/>
      <c r="H909" s="105" t="str">
        <f>IF(H908="","",23)</f>
        <v/>
      </c>
      <c r="I909" s="105"/>
      <c r="J909" s="105" t="str">
        <f>IF(J908="","",23)</f>
        <v/>
      </c>
      <c r="K909" s="105"/>
    </row>
    <row r="910" spans="1:18" ht="15.75">
      <c r="A910" s="5" t="s">
        <v>64</v>
      </c>
      <c r="B910" s="8" t="str">
        <f>IF(N908="","",INDEX(kopsavilkums!$T$6:$T$125,N908))</f>
        <v/>
      </c>
      <c r="C910" s="8" t="str">
        <f>IF(N908="","",INDEX(kopsavilkums!$U$6:$U$125,N908))</f>
        <v/>
      </c>
      <c r="D910" s="8" t="str">
        <f>IF(O908="","",INDEX(kopsavilkums!$T$6:$T$125,O908))</f>
        <v/>
      </c>
      <c r="E910" s="8" t="str">
        <f>IF(O908="","",INDEX(kopsavilkums!$U$6:$U$125,O908))</f>
        <v/>
      </c>
      <c r="F910" s="8" t="str">
        <f>IF(P908="","",INDEX(kopsavilkums!$T$6:$T$125,P908))</f>
        <v/>
      </c>
      <c r="G910" s="8" t="str">
        <f>IF(P908="","",INDEX(kopsavilkums!$U$6:$U$125,P908))</f>
        <v/>
      </c>
      <c r="H910" s="8" t="str">
        <f>IF(Q908="","",INDEX(kopsavilkums!$T$6:$T$125,Q908))</f>
        <v/>
      </c>
      <c r="I910" s="8" t="str">
        <f>IF(Q908="","",INDEX(kopsavilkums!$U$6:$U$125,Q908))</f>
        <v/>
      </c>
      <c r="J910" s="8" t="str">
        <f>IF(R908="","",INDEX(kopsavilkums!$T$6:$T$125,R908))</f>
        <v/>
      </c>
      <c r="K910" s="8" t="str">
        <f>IF(R908="","",INDEX(kopsavilkums!$U$6:$U$125,R908))</f>
        <v/>
      </c>
    </row>
    <row r="911" spans="1:18">
      <c r="L911" s="17" t="s">
        <v>66</v>
      </c>
      <c r="M911" s="18"/>
    </row>
    <row r="912" spans="1:18">
      <c r="M912" s="2"/>
    </row>
    <row r="913" spans="1:13" ht="18">
      <c r="A913" s="3">
        <v>1</v>
      </c>
      <c r="B913" s="102"/>
      <c r="C913" s="102"/>
      <c r="D913" s="102"/>
      <c r="E913" s="102"/>
      <c r="F913" s="102"/>
      <c r="G913" s="102"/>
      <c r="H913" s="102"/>
      <c r="I913" s="102"/>
      <c r="J913" s="99"/>
      <c r="K913" s="99"/>
      <c r="L913" s="46"/>
      <c r="M913" s="6"/>
    </row>
    <row r="914" spans="1:13" ht="18">
      <c r="A914" s="3">
        <v>2</v>
      </c>
      <c r="B914" s="102"/>
      <c r="C914" s="102"/>
      <c r="D914" s="102"/>
      <c r="E914" s="102"/>
      <c r="F914" s="102"/>
      <c r="G914" s="102"/>
      <c r="H914" s="102"/>
      <c r="I914" s="102"/>
      <c r="J914" s="99"/>
      <c r="K914" s="99"/>
      <c r="L914" s="46"/>
      <c r="M914" s="6"/>
    </row>
    <row r="915" spans="1:13" ht="18">
      <c r="A915" s="3">
        <v>3</v>
      </c>
      <c r="B915" s="102"/>
      <c r="C915" s="102"/>
      <c r="D915" s="102"/>
      <c r="E915" s="102"/>
      <c r="F915" s="102"/>
      <c r="G915" s="102"/>
      <c r="H915" s="102"/>
      <c r="I915" s="102"/>
      <c r="J915" s="99"/>
      <c r="K915" s="99"/>
      <c r="L915" s="46"/>
      <c r="M915" s="6"/>
    </row>
    <row r="916" spans="1:13" ht="18">
      <c r="A916" s="3">
        <v>4</v>
      </c>
      <c r="B916" s="102"/>
      <c r="C916" s="102"/>
      <c r="D916" s="102"/>
      <c r="E916" s="102"/>
      <c r="F916" s="102"/>
      <c r="G916" s="102"/>
      <c r="H916" s="102"/>
      <c r="I916" s="102"/>
      <c r="J916" s="99"/>
      <c r="K916" s="99"/>
      <c r="L916" s="46"/>
      <c r="M916" s="6"/>
    </row>
    <row r="917" spans="1:13" ht="18">
      <c r="A917" s="3">
        <v>5</v>
      </c>
      <c r="B917" s="102"/>
      <c r="C917" s="102"/>
      <c r="D917" s="102"/>
      <c r="E917" s="102"/>
      <c r="F917" s="102"/>
      <c r="G917" s="102"/>
      <c r="H917" s="102"/>
      <c r="I917" s="102"/>
      <c r="J917" s="99"/>
      <c r="K917" s="99"/>
      <c r="L917" s="46"/>
      <c r="M917" s="6"/>
    </row>
    <row r="918" spans="1:13" ht="18">
      <c r="A918" s="3">
        <v>6</v>
      </c>
      <c r="B918" s="102"/>
      <c r="C918" s="102"/>
      <c r="D918" s="102"/>
      <c r="E918" s="102"/>
      <c r="F918" s="102"/>
      <c r="G918" s="102"/>
      <c r="H918" s="102"/>
      <c r="I918" s="102"/>
      <c r="J918" s="99"/>
      <c r="K918" s="99"/>
      <c r="L918" s="46"/>
      <c r="M918" s="6"/>
    </row>
    <row r="919" spans="1:13" ht="18">
      <c r="A919" s="3">
        <v>7</v>
      </c>
      <c r="B919" s="102"/>
      <c r="C919" s="102"/>
      <c r="D919" s="102"/>
      <c r="E919" s="102"/>
      <c r="F919" s="102"/>
      <c r="G919" s="102"/>
      <c r="H919" s="102"/>
      <c r="I919" s="102"/>
      <c r="J919" s="99"/>
      <c r="K919" s="99"/>
      <c r="L919" s="46"/>
      <c r="M919" s="6"/>
    </row>
    <row r="920" spans="1:13" ht="18">
      <c r="A920" s="3">
        <v>8</v>
      </c>
      <c r="B920" s="102"/>
      <c r="C920" s="102"/>
      <c r="D920" s="102"/>
      <c r="E920" s="102"/>
      <c r="F920" s="102"/>
      <c r="G920" s="102"/>
      <c r="H920" s="102"/>
      <c r="I920" s="102"/>
      <c r="J920" s="99"/>
      <c r="K920" s="99"/>
      <c r="L920" s="46"/>
      <c r="M920" s="6"/>
    </row>
    <row r="921" spans="1:13" ht="18">
      <c r="A921" s="3">
        <v>9</v>
      </c>
      <c r="B921" s="102"/>
      <c r="C921" s="102"/>
      <c r="D921" s="102"/>
      <c r="E921" s="102"/>
      <c r="F921" s="102"/>
      <c r="G921" s="102"/>
      <c r="H921" s="102"/>
      <c r="I921" s="102"/>
      <c r="J921" s="99"/>
      <c r="K921" s="99"/>
      <c r="L921" s="46"/>
      <c r="M921" s="6"/>
    </row>
    <row r="922" spans="1:13" ht="18">
      <c r="A922" s="3">
        <v>10</v>
      </c>
      <c r="B922" s="102"/>
      <c r="C922" s="102"/>
      <c r="D922" s="102"/>
      <c r="E922" s="102"/>
      <c r="F922" s="102"/>
      <c r="G922" s="102"/>
      <c r="H922" s="102"/>
      <c r="I922" s="102"/>
      <c r="J922" s="99"/>
      <c r="K922" s="99"/>
      <c r="L922" s="46"/>
      <c r="M922" s="6"/>
    </row>
    <row r="923" spans="1:13" ht="18">
      <c r="A923" s="3">
        <v>11</v>
      </c>
      <c r="B923" s="102"/>
      <c r="C923" s="102"/>
      <c r="D923" s="102"/>
      <c r="E923" s="102"/>
      <c r="F923" s="102"/>
      <c r="G923" s="102"/>
      <c r="H923" s="102"/>
      <c r="I923" s="102"/>
      <c r="J923" s="99"/>
      <c r="K923" s="99"/>
      <c r="L923" s="46"/>
      <c r="M923" s="6"/>
    </row>
    <row r="924" spans="1:13" ht="18">
      <c r="A924" s="3">
        <v>12</v>
      </c>
      <c r="B924" s="102"/>
      <c r="C924" s="102"/>
      <c r="D924" s="102"/>
      <c r="E924" s="102"/>
      <c r="F924" s="102"/>
      <c r="G924" s="102"/>
      <c r="H924" s="102"/>
      <c r="I924" s="102"/>
      <c r="J924" s="99"/>
      <c r="K924" s="99"/>
      <c r="L924" s="46"/>
      <c r="M924" s="6"/>
    </row>
    <row r="925" spans="1:13" ht="18">
      <c r="A925" s="3">
        <v>13</v>
      </c>
      <c r="B925" s="102"/>
      <c r="C925" s="102"/>
      <c r="D925" s="102"/>
      <c r="E925" s="102"/>
      <c r="F925" s="102"/>
      <c r="G925" s="102"/>
      <c r="H925" s="102"/>
      <c r="I925" s="102"/>
      <c r="J925" s="99"/>
      <c r="K925" s="99"/>
      <c r="L925" s="46"/>
      <c r="M925" s="6"/>
    </row>
    <row r="926" spans="1:13" ht="18">
      <c r="A926" s="3">
        <v>14</v>
      </c>
      <c r="B926" s="102"/>
      <c r="C926" s="102"/>
      <c r="D926" s="102"/>
      <c r="E926" s="102"/>
      <c r="F926" s="102"/>
      <c r="G926" s="102"/>
      <c r="H926" s="102"/>
      <c r="I926" s="102"/>
      <c r="J926" s="99"/>
      <c r="K926" s="99"/>
      <c r="L926" s="46"/>
      <c r="M926" s="6"/>
    </row>
    <row r="927" spans="1:13" ht="18">
      <c r="A927" s="3">
        <v>15</v>
      </c>
      <c r="B927" s="102"/>
      <c r="C927" s="102"/>
      <c r="D927" s="102"/>
      <c r="E927" s="102"/>
      <c r="F927" s="102"/>
      <c r="G927" s="102"/>
      <c r="H927" s="102"/>
      <c r="I927" s="102"/>
      <c r="J927" s="99"/>
      <c r="K927" s="99"/>
      <c r="L927" s="46"/>
      <c r="M927" s="6"/>
    </row>
    <row r="928" spans="1:13" ht="18">
      <c r="A928" s="3">
        <v>16</v>
      </c>
      <c r="B928" s="102"/>
      <c r="C928" s="102"/>
      <c r="D928" s="102"/>
      <c r="E928" s="102"/>
      <c r="F928" s="102"/>
      <c r="G928" s="102"/>
      <c r="H928" s="102"/>
      <c r="I928" s="102"/>
      <c r="J928" s="99"/>
      <c r="K928" s="99"/>
      <c r="L928" s="46"/>
      <c r="M928" s="6"/>
    </row>
    <row r="929" spans="1:13" ht="18">
      <c r="A929" s="3">
        <v>17</v>
      </c>
      <c r="B929" s="102"/>
      <c r="C929" s="102"/>
      <c r="D929" s="102"/>
      <c r="E929" s="102"/>
      <c r="F929" s="102"/>
      <c r="G929" s="102"/>
      <c r="H929" s="102"/>
      <c r="I929" s="102"/>
      <c r="J929" s="99"/>
      <c r="K929" s="99"/>
      <c r="L929" s="46"/>
      <c r="M929" s="6"/>
    </row>
    <row r="930" spans="1:13" ht="18">
      <c r="A930" s="3">
        <v>18</v>
      </c>
      <c r="B930" s="102"/>
      <c r="C930" s="102"/>
      <c r="D930" s="102"/>
      <c r="E930" s="102"/>
      <c r="F930" s="102"/>
      <c r="G930" s="102"/>
      <c r="H930" s="102"/>
      <c r="I930" s="102"/>
      <c r="J930" s="99"/>
      <c r="K930" s="99"/>
      <c r="L930" s="46"/>
      <c r="M930" s="6"/>
    </row>
    <row r="931" spans="1:13" ht="18">
      <c r="A931" s="3">
        <v>19</v>
      </c>
      <c r="B931" s="102"/>
      <c r="C931" s="102"/>
      <c r="D931" s="102"/>
      <c r="E931" s="102"/>
      <c r="F931" s="102"/>
      <c r="G931" s="102"/>
      <c r="H931" s="102"/>
      <c r="I931" s="102"/>
      <c r="J931" s="99"/>
      <c r="K931" s="99"/>
      <c r="L931" s="46"/>
      <c r="M931" s="6"/>
    </row>
    <row r="932" spans="1:13" ht="18">
      <c r="A932" s="3">
        <v>20</v>
      </c>
      <c r="B932" s="102"/>
      <c r="C932" s="102"/>
      <c r="D932" s="102"/>
      <c r="E932" s="102"/>
      <c r="F932" s="102"/>
      <c r="G932" s="102"/>
      <c r="H932" s="102"/>
      <c r="I932" s="102"/>
      <c r="J932" s="99"/>
      <c r="K932" s="99"/>
      <c r="L932" s="46"/>
      <c r="M932" s="6"/>
    </row>
    <row r="933" spans="1:13" ht="18">
      <c r="A933" s="3">
        <v>21</v>
      </c>
      <c r="B933" s="102"/>
      <c r="C933" s="102"/>
      <c r="D933" s="102"/>
      <c r="E933" s="102"/>
      <c r="F933" s="102"/>
      <c r="G933" s="102"/>
      <c r="H933" s="102"/>
      <c r="I933" s="102"/>
      <c r="J933" s="99"/>
      <c r="K933" s="99"/>
      <c r="L933" s="46"/>
      <c r="M933" s="6"/>
    </row>
    <row r="934" spans="1:13" ht="18">
      <c r="A934" s="3">
        <v>22</v>
      </c>
      <c r="B934" s="102"/>
      <c r="C934" s="102"/>
      <c r="D934" s="102"/>
      <c r="E934" s="102"/>
      <c r="F934" s="102"/>
      <c r="G934" s="102"/>
      <c r="H934" s="102"/>
      <c r="I934" s="102"/>
      <c r="J934" s="99"/>
      <c r="K934" s="99"/>
      <c r="L934" s="46"/>
      <c r="M934" s="6"/>
    </row>
    <row r="935" spans="1:13" ht="18">
      <c r="A935" s="3">
        <v>23</v>
      </c>
      <c r="B935" s="102"/>
      <c r="C935" s="102"/>
      <c r="D935" s="102"/>
      <c r="E935" s="102"/>
      <c r="F935" s="102"/>
      <c r="G935" s="102"/>
      <c r="H935" s="102"/>
      <c r="I935" s="102"/>
      <c r="J935" s="99"/>
      <c r="K935" s="99"/>
      <c r="L935" s="46"/>
      <c r="M935" s="6"/>
    </row>
    <row r="936" spans="1:13" ht="18">
      <c r="A936" s="3">
        <v>24</v>
      </c>
      <c r="B936" s="102"/>
      <c r="C936" s="102"/>
      <c r="D936" s="102"/>
      <c r="E936" s="102"/>
      <c r="F936" s="102"/>
      <c r="G936" s="102"/>
      <c r="H936" s="102"/>
      <c r="I936" s="102"/>
      <c r="J936" s="99"/>
      <c r="K936" s="99"/>
      <c r="L936" s="46"/>
      <c r="M936" s="6"/>
    </row>
    <row r="937" spans="1:13" ht="18">
      <c r="A937" s="3">
        <v>25</v>
      </c>
      <c r="B937" s="102"/>
      <c r="C937" s="102"/>
      <c r="D937" s="102"/>
      <c r="E937" s="102"/>
      <c r="F937" s="102"/>
      <c r="G937" s="102"/>
      <c r="H937" s="102"/>
      <c r="I937" s="102"/>
      <c r="J937" s="99"/>
      <c r="K937" s="99"/>
      <c r="L937" s="46"/>
      <c r="M937" s="6"/>
    </row>
    <row r="938" spans="1:13" ht="18">
      <c r="A938" s="3">
        <v>26</v>
      </c>
      <c r="B938" s="102"/>
      <c r="C938" s="102"/>
      <c r="D938" s="102"/>
      <c r="E938" s="102"/>
      <c r="F938" s="102"/>
      <c r="G938" s="102"/>
      <c r="H938" s="102"/>
      <c r="I938" s="102"/>
      <c r="J938" s="99"/>
      <c r="K938" s="99"/>
      <c r="L938" s="46"/>
      <c r="M938" s="6"/>
    </row>
    <row r="939" spans="1:13" ht="18">
      <c r="A939" s="3">
        <v>27</v>
      </c>
      <c r="B939" s="102"/>
      <c r="C939" s="102"/>
      <c r="D939" s="102"/>
      <c r="E939" s="102"/>
      <c r="F939" s="102"/>
      <c r="G939" s="102"/>
      <c r="H939" s="102"/>
      <c r="I939" s="102"/>
      <c r="J939" s="99"/>
      <c r="K939" s="99"/>
      <c r="L939" s="46"/>
      <c r="M939" s="6"/>
    </row>
    <row r="940" spans="1:13" ht="18">
      <c r="A940" s="3">
        <v>28</v>
      </c>
      <c r="B940" s="102"/>
      <c r="C940" s="102"/>
      <c r="D940" s="102"/>
      <c r="E940" s="102"/>
      <c r="F940" s="102"/>
      <c r="G940" s="102"/>
      <c r="H940" s="102"/>
      <c r="I940" s="102"/>
      <c r="J940" s="99"/>
      <c r="K940" s="99"/>
      <c r="L940" s="46"/>
      <c r="M940" s="6"/>
    </row>
    <row r="941" spans="1:13">
      <c r="B941" s="102"/>
      <c r="C941" s="102"/>
      <c r="D941" s="102"/>
      <c r="E941" s="102"/>
      <c r="F941" s="102"/>
      <c r="G941" s="102"/>
      <c r="H941" s="102"/>
      <c r="I941" s="102"/>
      <c r="J941" s="99"/>
      <c r="K941" s="99"/>
      <c r="L941" s="46"/>
      <c r="M941" s="6"/>
    </row>
    <row r="942" spans="1:13">
      <c r="B942" s="97"/>
      <c r="C942" s="98"/>
      <c r="D942" s="97"/>
      <c r="E942" s="98"/>
      <c r="F942" s="97"/>
      <c r="G942" s="98"/>
      <c r="H942" s="97"/>
      <c r="I942" s="98"/>
      <c r="J942" s="99"/>
      <c r="K942" s="99"/>
      <c r="L942" s="46"/>
      <c r="M942" s="6"/>
    </row>
    <row r="943" spans="1:13">
      <c r="B943" s="93"/>
      <c r="C943" s="94"/>
      <c r="D943" s="93"/>
      <c r="E943" s="94"/>
      <c r="F943" s="93"/>
      <c r="G943" s="94"/>
      <c r="H943" s="93"/>
      <c r="I943" s="94"/>
      <c r="J943" s="95"/>
      <c r="K943" s="96"/>
      <c r="L943" s="46"/>
      <c r="M943" s="6"/>
    </row>
    <row r="944" spans="1:13">
      <c r="M944" s="6"/>
    </row>
    <row r="945" spans="1:18">
      <c r="B945" s="7" t="str">
        <f>kopsavilkums!$J$2</f>
        <v>Dizšvētku Zolītes finālturnīrs Valkā 2026 (RONDO)</v>
      </c>
    </row>
    <row r="947" spans="1:18">
      <c r="G947" s="41" t="s">
        <v>62</v>
      </c>
      <c r="H947" s="43">
        <f>IF(kopsavilkums!$E$2="","",kopsavilkums!$E$2)</f>
        <v>8</v>
      </c>
    </row>
    <row r="949" spans="1:18" ht="15.75">
      <c r="B949" s="103" t="str">
        <f>IF(N949="","",INDEX(kopsavilkums!$C$6:$C$125,N949))</f>
        <v/>
      </c>
      <c r="C949" s="104"/>
      <c r="D949" s="103" t="str">
        <f>IF(O949="","",INDEX(kopsavilkums!$C$6:$C$125,O949))</f>
        <v/>
      </c>
      <c r="E949" s="104"/>
      <c r="F949" s="103" t="str">
        <f>IF(P949="","",INDEX(kopsavilkums!$C$6:$C$125,P949))</f>
        <v/>
      </c>
      <c r="G949" s="104"/>
      <c r="H949" s="103" t="str">
        <f>IF(Q949="","",INDEX(kopsavilkums!$C$6:$C$125,Q949))</f>
        <v/>
      </c>
      <c r="I949" s="104"/>
      <c r="J949" s="103" t="str">
        <f>IF(R949="","",INDEX(kopsavilkums!$C$6:$C$125,R949))</f>
        <v/>
      </c>
      <c r="K949" s="104"/>
      <c r="N949" t="str">
        <f>IF(1&gt;IF(24&lt;=(INT(kopsavilkums!$V$2/4)-MOD(kopsavilkums!$V$2,4)),4,IF(24&lt;=INT(kopsavilkums!$V$2/4),5,0)),"",IFERROR(MATCH((IF(24&lt;=(INT(kopsavilkums!$V$2/4)-MOD(kopsavilkums!$V$2,4)),(24-1)*4,(INT(kopsavilkums!$V$2/4)-MOD(kopsavilkums!$V$2,4))*4+(24-(INT(kopsavilkums!$V$2/4)-MOD(kopsavilkums!$V$2,4))-1)*5)+1),kopsavilkums!$X$6:$X$125,0),""))</f>
        <v/>
      </c>
      <c r="O949" t="str">
        <f>IF(2&gt;IF(24&lt;=(INT(kopsavilkums!$V$2/4)-MOD(kopsavilkums!$V$2,4)),4,IF(24&lt;=INT(kopsavilkums!$V$2/4),5,0)),"",IFERROR(MATCH((IF(24&lt;=(INT(kopsavilkums!$V$2/4)-MOD(kopsavilkums!$V$2,4)),(24-1)*4,(INT(kopsavilkums!$V$2/4)-MOD(kopsavilkums!$V$2,4))*4+(24-(INT(kopsavilkums!$V$2/4)-MOD(kopsavilkums!$V$2,4))-1)*5)+2),kopsavilkums!$X$6:$X$125,0),""))</f>
        <v/>
      </c>
      <c r="P949" t="str">
        <f>IF(3&gt;IF(24&lt;=(INT(kopsavilkums!$V$2/4)-MOD(kopsavilkums!$V$2,4)),4,IF(24&lt;=INT(kopsavilkums!$V$2/4),5,0)),"",IFERROR(MATCH((IF(24&lt;=(INT(kopsavilkums!$V$2/4)-MOD(kopsavilkums!$V$2,4)),(24-1)*4,(INT(kopsavilkums!$V$2/4)-MOD(kopsavilkums!$V$2,4))*4+(24-(INT(kopsavilkums!$V$2/4)-MOD(kopsavilkums!$V$2,4))-1)*5)+3),kopsavilkums!$X$6:$X$125,0),""))</f>
        <v/>
      </c>
      <c r="Q949" t="str">
        <f>IF(4&gt;IF(24&lt;=(INT(kopsavilkums!$V$2/4)-MOD(kopsavilkums!$V$2,4)),4,IF(24&lt;=INT(kopsavilkums!$V$2/4),5,0)),"",IFERROR(MATCH((IF(24&lt;=(INT(kopsavilkums!$V$2/4)-MOD(kopsavilkums!$V$2,4)),(24-1)*4,(INT(kopsavilkums!$V$2/4)-MOD(kopsavilkums!$V$2,4))*4+(24-(INT(kopsavilkums!$V$2/4)-MOD(kopsavilkums!$V$2,4))-1)*5)+4),kopsavilkums!$X$6:$X$125,0),""))</f>
        <v/>
      </c>
      <c r="R949" t="str">
        <f>IF(5&gt;IF(24&lt;=(INT(kopsavilkums!$V$2/4)-MOD(kopsavilkums!$V$2,4)),4,IF(24&lt;=INT(kopsavilkums!$V$2/4),5,0)),"",IFERROR(MATCH((IF(24&lt;=(INT(kopsavilkums!$V$2/4)-MOD(kopsavilkums!$V$2,4)),(24-1)*4,(INT(kopsavilkums!$V$2/4)-MOD(kopsavilkums!$V$2,4))*4+(24-(INT(kopsavilkums!$V$2/4)-MOD(kopsavilkums!$V$2,4))-1)*5)+5),kopsavilkums!$X$6:$X$125,0),""))</f>
        <v/>
      </c>
    </row>
    <row r="950" spans="1:18" ht="15.75">
      <c r="A950" s="4" t="s">
        <v>63</v>
      </c>
      <c r="B950" s="105" t="str">
        <f>IF(B949="","",24)</f>
        <v/>
      </c>
      <c r="C950" s="105"/>
      <c r="D950" s="105" t="str">
        <f>IF(D949="","",24)</f>
        <v/>
      </c>
      <c r="E950" s="105"/>
      <c r="F950" s="105" t="str">
        <f>IF(F949="","",24)</f>
        <v/>
      </c>
      <c r="G950" s="105"/>
      <c r="H950" s="105" t="str">
        <f>IF(H949="","",24)</f>
        <v/>
      </c>
      <c r="I950" s="105"/>
      <c r="J950" s="105" t="str">
        <f>IF(J949="","",24)</f>
        <v/>
      </c>
      <c r="K950" s="105"/>
    </row>
    <row r="951" spans="1:18" ht="15.75">
      <c r="A951" s="5" t="s">
        <v>64</v>
      </c>
      <c r="B951" s="8" t="str">
        <f>IF(N949="","",INDEX(kopsavilkums!$T$6:$T$125,N949))</f>
        <v/>
      </c>
      <c r="C951" s="8" t="str">
        <f>IF(N949="","",INDEX(kopsavilkums!$U$6:$U$125,N949))</f>
        <v/>
      </c>
      <c r="D951" s="8" t="str">
        <f>IF(O949="","",INDEX(kopsavilkums!$T$6:$T$125,O949))</f>
        <v/>
      </c>
      <c r="E951" s="8" t="str">
        <f>IF(O949="","",INDEX(kopsavilkums!$U$6:$U$125,O949))</f>
        <v/>
      </c>
      <c r="F951" s="8" t="str">
        <f>IF(P949="","",INDEX(kopsavilkums!$T$6:$T$125,P949))</f>
        <v/>
      </c>
      <c r="G951" s="8" t="str">
        <f>IF(P949="","",INDEX(kopsavilkums!$U$6:$U$125,P949))</f>
        <v/>
      </c>
      <c r="H951" s="8" t="str">
        <f>IF(Q949="","",INDEX(kopsavilkums!$T$6:$T$125,Q949))</f>
        <v/>
      </c>
      <c r="I951" s="8" t="str">
        <f>IF(Q949="","",INDEX(kopsavilkums!$U$6:$U$125,Q949))</f>
        <v/>
      </c>
      <c r="J951" s="8" t="str">
        <f>IF(R949="","",INDEX(kopsavilkums!$T$6:$T$125,R949))</f>
        <v/>
      </c>
      <c r="K951" s="8" t="str">
        <f>IF(R949="","",INDEX(kopsavilkums!$U$6:$U$125,R949))</f>
        <v/>
      </c>
    </row>
    <row r="952" spans="1:18">
      <c r="L952" s="17" t="s">
        <v>66</v>
      </c>
      <c r="M952" s="18"/>
    </row>
    <row r="953" spans="1:18">
      <c r="M953" s="2"/>
    </row>
    <row r="954" spans="1:18" ht="18">
      <c r="A954" s="3">
        <v>1</v>
      </c>
      <c r="B954" s="102"/>
      <c r="C954" s="102"/>
      <c r="D954" s="102"/>
      <c r="E954" s="102"/>
      <c r="F954" s="102"/>
      <c r="G954" s="102"/>
      <c r="H954" s="102"/>
      <c r="I954" s="102"/>
      <c r="J954" s="99"/>
      <c r="K954" s="99"/>
      <c r="L954" s="46"/>
      <c r="M954" s="6"/>
    </row>
    <row r="955" spans="1:18" ht="18">
      <c r="A955" s="3">
        <v>2</v>
      </c>
      <c r="B955" s="102"/>
      <c r="C955" s="102"/>
      <c r="D955" s="102"/>
      <c r="E955" s="102"/>
      <c r="F955" s="102"/>
      <c r="G955" s="102"/>
      <c r="H955" s="102"/>
      <c r="I955" s="102"/>
      <c r="J955" s="99"/>
      <c r="K955" s="99"/>
      <c r="L955" s="46"/>
      <c r="M955" s="6"/>
    </row>
    <row r="956" spans="1:18" ht="18">
      <c r="A956" s="3">
        <v>3</v>
      </c>
      <c r="B956" s="102"/>
      <c r="C956" s="102"/>
      <c r="D956" s="102"/>
      <c r="E956" s="102"/>
      <c r="F956" s="102"/>
      <c r="G956" s="102"/>
      <c r="H956" s="102"/>
      <c r="I956" s="102"/>
      <c r="J956" s="99"/>
      <c r="K956" s="99"/>
      <c r="L956" s="46"/>
      <c r="M956" s="6"/>
    </row>
    <row r="957" spans="1:18" ht="18">
      <c r="A957" s="3">
        <v>4</v>
      </c>
      <c r="B957" s="102"/>
      <c r="C957" s="102"/>
      <c r="D957" s="102"/>
      <c r="E957" s="102"/>
      <c r="F957" s="102"/>
      <c r="G957" s="102"/>
      <c r="H957" s="102"/>
      <c r="I957" s="102"/>
      <c r="J957" s="99"/>
      <c r="K957" s="99"/>
      <c r="L957" s="46"/>
      <c r="M957" s="6"/>
    </row>
    <row r="958" spans="1:18" ht="18">
      <c r="A958" s="3">
        <v>5</v>
      </c>
      <c r="B958" s="102"/>
      <c r="C958" s="102"/>
      <c r="D958" s="102"/>
      <c r="E958" s="102"/>
      <c r="F958" s="102"/>
      <c r="G958" s="102"/>
      <c r="H958" s="102"/>
      <c r="I958" s="102"/>
      <c r="J958" s="99"/>
      <c r="K958" s="99"/>
      <c r="L958" s="46"/>
      <c r="M958" s="6"/>
    </row>
    <row r="959" spans="1:18" ht="18">
      <c r="A959" s="3">
        <v>6</v>
      </c>
      <c r="B959" s="102"/>
      <c r="C959" s="102"/>
      <c r="D959" s="102"/>
      <c r="E959" s="102"/>
      <c r="F959" s="102"/>
      <c r="G959" s="102"/>
      <c r="H959" s="102"/>
      <c r="I959" s="102"/>
      <c r="J959" s="99"/>
      <c r="K959" s="99"/>
      <c r="L959" s="46"/>
      <c r="M959" s="6"/>
    </row>
    <row r="960" spans="1:18" ht="18">
      <c r="A960" s="3">
        <v>7</v>
      </c>
      <c r="B960" s="102"/>
      <c r="C960" s="102"/>
      <c r="D960" s="102"/>
      <c r="E960" s="102"/>
      <c r="F960" s="102"/>
      <c r="G960" s="102"/>
      <c r="H960" s="102"/>
      <c r="I960" s="102"/>
      <c r="J960" s="99"/>
      <c r="K960" s="99"/>
      <c r="L960" s="46"/>
      <c r="M960" s="6"/>
    </row>
    <row r="961" spans="1:13" ht="18">
      <c r="A961" s="3">
        <v>8</v>
      </c>
      <c r="B961" s="102"/>
      <c r="C961" s="102"/>
      <c r="D961" s="102"/>
      <c r="E961" s="102"/>
      <c r="F961" s="102"/>
      <c r="G961" s="102"/>
      <c r="H961" s="102"/>
      <c r="I961" s="102"/>
      <c r="J961" s="99"/>
      <c r="K961" s="99"/>
      <c r="L961" s="46"/>
      <c r="M961" s="6"/>
    </row>
    <row r="962" spans="1:13" ht="18">
      <c r="A962" s="3">
        <v>9</v>
      </c>
      <c r="B962" s="102"/>
      <c r="C962" s="102"/>
      <c r="D962" s="102"/>
      <c r="E962" s="102"/>
      <c r="F962" s="102"/>
      <c r="G962" s="102"/>
      <c r="H962" s="102"/>
      <c r="I962" s="102"/>
      <c r="J962" s="99"/>
      <c r="K962" s="99"/>
      <c r="L962" s="46"/>
      <c r="M962" s="6"/>
    </row>
    <row r="963" spans="1:13" ht="18">
      <c r="A963" s="3">
        <v>10</v>
      </c>
      <c r="B963" s="102"/>
      <c r="C963" s="102"/>
      <c r="D963" s="102"/>
      <c r="E963" s="102"/>
      <c r="F963" s="102"/>
      <c r="G963" s="102"/>
      <c r="H963" s="102"/>
      <c r="I963" s="102"/>
      <c r="J963" s="99"/>
      <c r="K963" s="99"/>
      <c r="L963" s="46"/>
      <c r="M963" s="6"/>
    </row>
    <row r="964" spans="1:13" ht="18">
      <c r="A964" s="3">
        <v>11</v>
      </c>
      <c r="B964" s="102"/>
      <c r="C964" s="102"/>
      <c r="D964" s="102"/>
      <c r="E964" s="102"/>
      <c r="F964" s="102"/>
      <c r="G964" s="102"/>
      <c r="H964" s="102"/>
      <c r="I964" s="102"/>
      <c r="J964" s="99"/>
      <c r="K964" s="99"/>
      <c r="L964" s="46"/>
      <c r="M964" s="6"/>
    </row>
    <row r="965" spans="1:13" ht="18">
      <c r="A965" s="3">
        <v>12</v>
      </c>
      <c r="B965" s="102"/>
      <c r="C965" s="102"/>
      <c r="D965" s="102"/>
      <c r="E965" s="102"/>
      <c r="F965" s="102"/>
      <c r="G965" s="102"/>
      <c r="H965" s="102"/>
      <c r="I965" s="102"/>
      <c r="J965" s="99"/>
      <c r="K965" s="99"/>
      <c r="L965" s="46"/>
      <c r="M965" s="6"/>
    </row>
    <row r="966" spans="1:13" ht="18">
      <c r="A966" s="3">
        <v>13</v>
      </c>
      <c r="B966" s="102"/>
      <c r="C966" s="102"/>
      <c r="D966" s="102"/>
      <c r="E966" s="102"/>
      <c r="F966" s="102"/>
      <c r="G966" s="102"/>
      <c r="H966" s="102"/>
      <c r="I966" s="102"/>
      <c r="J966" s="99"/>
      <c r="K966" s="99"/>
      <c r="L966" s="46"/>
      <c r="M966" s="6"/>
    </row>
    <row r="967" spans="1:13" ht="18">
      <c r="A967" s="3">
        <v>14</v>
      </c>
      <c r="B967" s="102"/>
      <c r="C967" s="102"/>
      <c r="D967" s="102"/>
      <c r="E967" s="102"/>
      <c r="F967" s="102"/>
      <c r="G967" s="102"/>
      <c r="H967" s="102"/>
      <c r="I967" s="102"/>
      <c r="J967" s="99"/>
      <c r="K967" s="99"/>
      <c r="L967" s="46"/>
      <c r="M967" s="6"/>
    </row>
    <row r="968" spans="1:13" ht="18">
      <c r="A968" s="3">
        <v>15</v>
      </c>
      <c r="B968" s="102"/>
      <c r="C968" s="102"/>
      <c r="D968" s="102"/>
      <c r="E968" s="102"/>
      <c r="F968" s="102"/>
      <c r="G968" s="102"/>
      <c r="H968" s="102"/>
      <c r="I968" s="102"/>
      <c r="J968" s="99"/>
      <c r="K968" s="99"/>
      <c r="L968" s="46"/>
      <c r="M968" s="6"/>
    </row>
    <row r="969" spans="1:13" ht="18">
      <c r="A969" s="3">
        <v>16</v>
      </c>
      <c r="B969" s="102"/>
      <c r="C969" s="102"/>
      <c r="D969" s="102"/>
      <c r="E969" s="102"/>
      <c r="F969" s="102"/>
      <c r="G969" s="102"/>
      <c r="H969" s="102"/>
      <c r="I969" s="102"/>
      <c r="J969" s="99"/>
      <c r="K969" s="99"/>
      <c r="L969" s="46"/>
      <c r="M969" s="6"/>
    </row>
    <row r="970" spans="1:13" ht="18">
      <c r="A970" s="3">
        <v>17</v>
      </c>
      <c r="B970" s="102"/>
      <c r="C970" s="102"/>
      <c r="D970" s="102"/>
      <c r="E970" s="102"/>
      <c r="F970" s="102"/>
      <c r="G970" s="102"/>
      <c r="H970" s="102"/>
      <c r="I970" s="102"/>
      <c r="J970" s="99"/>
      <c r="K970" s="99"/>
      <c r="L970" s="46"/>
      <c r="M970" s="6"/>
    </row>
    <row r="971" spans="1:13" ht="18">
      <c r="A971" s="3">
        <v>18</v>
      </c>
      <c r="B971" s="102"/>
      <c r="C971" s="102"/>
      <c r="D971" s="102"/>
      <c r="E971" s="102"/>
      <c r="F971" s="102"/>
      <c r="G971" s="102"/>
      <c r="H971" s="102"/>
      <c r="I971" s="102"/>
      <c r="J971" s="99"/>
      <c r="K971" s="99"/>
      <c r="L971" s="46"/>
      <c r="M971" s="6"/>
    </row>
    <row r="972" spans="1:13" ht="18">
      <c r="A972" s="3">
        <v>19</v>
      </c>
      <c r="B972" s="102"/>
      <c r="C972" s="102"/>
      <c r="D972" s="102"/>
      <c r="E972" s="102"/>
      <c r="F972" s="102"/>
      <c r="G972" s="102"/>
      <c r="H972" s="102"/>
      <c r="I972" s="102"/>
      <c r="J972" s="99"/>
      <c r="K972" s="99"/>
      <c r="L972" s="46"/>
      <c r="M972" s="6"/>
    </row>
    <row r="973" spans="1:13" ht="18">
      <c r="A973" s="3">
        <v>20</v>
      </c>
      <c r="B973" s="102"/>
      <c r="C973" s="102"/>
      <c r="D973" s="102"/>
      <c r="E973" s="102"/>
      <c r="F973" s="102"/>
      <c r="G973" s="102"/>
      <c r="H973" s="102"/>
      <c r="I973" s="102"/>
      <c r="J973" s="99"/>
      <c r="K973" s="99"/>
      <c r="L973" s="46"/>
      <c r="M973" s="6"/>
    </row>
    <row r="974" spans="1:13" ht="18">
      <c r="A974" s="3">
        <v>21</v>
      </c>
      <c r="B974" s="102"/>
      <c r="C974" s="102"/>
      <c r="D974" s="102"/>
      <c r="E974" s="102"/>
      <c r="F974" s="102"/>
      <c r="G974" s="102"/>
      <c r="H974" s="102"/>
      <c r="I974" s="102"/>
      <c r="J974" s="99"/>
      <c r="K974" s="99"/>
      <c r="L974" s="46"/>
      <c r="M974" s="6"/>
    </row>
    <row r="975" spans="1:13" ht="18">
      <c r="A975" s="3">
        <v>22</v>
      </c>
      <c r="B975" s="102"/>
      <c r="C975" s="102"/>
      <c r="D975" s="102"/>
      <c r="E975" s="102"/>
      <c r="F975" s="102"/>
      <c r="G975" s="102"/>
      <c r="H975" s="102"/>
      <c r="I975" s="102"/>
      <c r="J975" s="99"/>
      <c r="K975" s="99"/>
      <c r="L975" s="46"/>
      <c r="M975" s="6"/>
    </row>
    <row r="976" spans="1:13" ht="18">
      <c r="A976" s="3">
        <v>23</v>
      </c>
      <c r="B976" s="102"/>
      <c r="C976" s="102"/>
      <c r="D976" s="102"/>
      <c r="E976" s="102"/>
      <c r="F976" s="102"/>
      <c r="G976" s="102"/>
      <c r="H976" s="102"/>
      <c r="I976" s="102"/>
      <c r="J976" s="99"/>
      <c r="K976" s="99"/>
      <c r="L976" s="46"/>
      <c r="M976" s="6"/>
    </row>
    <row r="977" spans="1:18" ht="18">
      <c r="A977" s="3">
        <v>24</v>
      </c>
      <c r="B977" s="102"/>
      <c r="C977" s="102"/>
      <c r="D977" s="102"/>
      <c r="E977" s="102"/>
      <c r="F977" s="102"/>
      <c r="G977" s="102"/>
      <c r="H977" s="102"/>
      <c r="I977" s="102"/>
      <c r="J977" s="99"/>
      <c r="K977" s="99"/>
      <c r="L977" s="46"/>
      <c r="M977" s="6"/>
    </row>
    <row r="978" spans="1:18" ht="18">
      <c r="A978" s="3">
        <v>25</v>
      </c>
      <c r="B978" s="102"/>
      <c r="C978" s="102"/>
      <c r="D978" s="102"/>
      <c r="E978" s="102"/>
      <c r="F978" s="102"/>
      <c r="G978" s="102"/>
      <c r="H978" s="102"/>
      <c r="I978" s="102"/>
      <c r="J978" s="99"/>
      <c r="K978" s="99"/>
      <c r="L978" s="46"/>
      <c r="M978" s="6"/>
    </row>
    <row r="979" spans="1:18" ht="18">
      <c r="A979" s="3">
        <v>26</v>
      </c>
      <c r="B979" s="102"/>
      <c r="C979" s="102"/>
      <c r="D979" s="102"/>
      <c r="E979" s="102"/>
      <c r="F979" s="102"/>
      <c r="G979" s="102"/>
      <c r="H979" s="102"/>
      <c r="I979" s="102"/>
      <c r="J979" s="99"/>
      <c r="K979" s="99"/>
      <c r="L979" s="46"/>
      <c r="M979" s="6"/>
    </row>
    <row r="980" spans="1:18" ht="18">
      <c r="A980" s="3">
        <v>27</v>
      </c>
      <c r="B980" s="102"/>
      <c r="C980" s="102"/>
      <c r="D980" s="102"/>
      <c r="E980" s="102"/>
      <c r="F980" s="102"/>
      <c r="G980" s="102"/>
      <c r="H980" s="102"/>
      <c r="I980" s="102"/>
      <c r="J980" s="99"/>
      <c r="K980" s="99"/>
      <c r="L980" s="46"/>
      <c r="M980" s="6"/>
    </row>
    <row r="981" spans="1:18" ht="18">
      <c r="A981" s="3">
        <v>28</v>
      </c>
      <c r="B981" s="102"/>
      <c r="C981" s="102"/>
      <c r="D981" s="102"/>
      <c r="E981" s="102"/>
      <c r="F981" s="102"/>
      <c r="G981" s="102"/>
      <c r="H981" s="102"/>
      <c r="I981" s="102"/>
      <c r="J981" s="99"/>
      <c r="K981" s="99"/>
      <c r="L981" s="46"/>
      <c r="M981" s="6"/>
    </row>
    <row r="982" spans="1:18">
      <c r="B982" s="102"/>
      <c r="C982" s="102"/>
      <c r="D982" s="102"/>
      <c r="E982" s="102"/>
      <c r="F982" s="102"/>
      <c r="G982" s="102"/>
      <c r="H982" s="102"/>
      <c r="I982" s="102"/>
      <c r="J982" s="99"/>
      <c r="K982" s="99"/>
      <c r="L982" s="46"/>
      <c r="M982" s="6"/>
    </row>
    <row r="983" spans="1:18">
      <c r="B983" s="97"/>
      <c r="C983" s="98"/>
      <c r="D983" s="97"/>
      <c r="E983" s="98"/>
      <c r="F983" s="97"/>
      <c r="G983" s="98"/>
      <c r="H983" s="97"/>
      <c r="I983" s="98"/>
      <c r="J983" s="99"/>
      <c r="K983" s="99"/>
      <c r="L983" s="46"/>
      <c r="M983" s="6"/>
    </row>
    <row r="984" spans="1:18">
      <c r="B984" s="93"/>
      <c r="C984" s="94"/>
      <c r="D984" s="93"/>
      <c r="E984" s="94"/>
      <c r="F984" s="93"/>
      <c r="G984" s="94"/>
      <c r="H984" s="93"/>
      <c r="I984" s="94"/>
      <c r="J984" s="95"/>
      <c r="K984" s="96"/>
      <c r="L984" s="46"/>
      <c r="M984" s="6"/>
    </row>
    <row r="985" spans="1:18">
      <c r="M985" s="6"/>
    </row>
    <row r="986" spans="1:18">
      <c r="B986" s="7" t="str">
        <f>kopsavilkums!$J$2</f>
        <v>Dizšvētku Zolītes finālturnīrs Valkā 2026 (RONDO)</v>
      </c>
    </row>
    <row r="988" spans="1:18">
      <c r="G988" s="41" t="s">
        <v>62</v>
      </c>
      <c r="H988" s="43">
        <f>IF(kopsavilkums!$E$2="","",kopsavilkums!$E$2)</f>
        <v>8</v>
      </c>
    </row>
    <row r="990" spans="1:18" ht="15.75">
      <c r="B990" s="103" t="str">
        <f>IF(N990="","",INDEX(kopsavilkums!$C$6:$C$125,N990))</f>
        <v/>
      </c>
      <c r="C990" s="104"/>
      <c r="D990" s="103" t="str">
        <f>IF(O990="","",INDEX(kopsavilkums!$C$6:$C$125,O990))</f>
        <v/>
      </c>
      <c r="E990" s="104"/>
      <c r="F990" s="103" t="str">
        <f>IF(P990="","",INDEX(kopsavilkums!$C$6:$C$125,P990))</f>
        <v/>
      </c>
      <c r="G990" s="104"/>
      <c r="H990" s="103" t="str">
        <f>IF(Q990="","",INDEX(kopsavilkums!$C$6:$C$125,Q990))</f>
        <v/>
      </c>
      <c r="I990" s="104"/>
      <c r="J990" s="103" t="str">
        <f>IF(R990="","",INDEX(kopsavilkums!$C$6:$C$125,R990))</f>
        <v/>
      </c>
      <c r="K990" s="104"/>
      <c r="N990" t="str">
        <f>IF(1&gt;IF(25&lt;=(INT(kopsavilkums!$V$2/4)-MOD(kopsavilkums!$V$2,4)),4,IF(25&lt;=INT(kopsavilkums!$V$2/4),5,0)),"",IFERROR(MATCH((IF(25&lt;=(INT(kopsavilkums!$V$2/4)-MOD(kopsavilkums!$V$2,4)),(25-1)*4,(INT(kopsavilkums!$V$2/4)-MOD(kopsavilkums!$V$2,4))*4+(25-(INT(kopsavilkums!$V$2/4)-MOD(kopsavilkums!$V$2,4))-1)*5)+1),kopsavilkums!$X$6:$X$125,0),""))</f>
        <v/>
      </c>
      <c r="O990" t="str">
        <f>IF(2&gt;IF(25&lt;=(INT(kopsavilkums!$V$2/4)-MOD(kopsavilkums!$V$2,4)),4,IF(25&lt;=INT(kopsavilkums!$V$2/4),5,0)),"",IFERROR(MATCH((IF(25&lt;=(INT(kopsavilkums!$V$2/4)-MOD(kopsavilkums!$V$2,4)),(25-1)*4,(INT(kopsavilkums!$V$2/4)-MOD(kopsavilkums!$V$2,4))*4+(25-(INT(kopsavilkums!$V$2/4)-MOD(kopsavilkums!$V$2,4))-1)*5)+2),kopsavilkums!$X$6:$X$125,0),""))</f>
        <v/>
      </c>
      <c r="P990" t="str">
        <f>IF(3&gt;IF(25&lt;=(INT(kopsavilkums!$V$2/4)-MOD(kopsavilkums!$V$2,4)),4,IF(25&lt;=INT(kopsavilkums!$V$2/4),5,0)),"",IFERROR(MATCH((IF(25&lt;=(INT(kopsavilkums!$V$2/4)-MOD(kopsavilkums!$V$2,4)),(25-1)*4,(INT(kopsavilkums!$V$2/4)-MOD(kopsavilkums!$V$2,4))*4+(25-(INT(kopsavilkums!$V$2/4)-MOD(kopsavilkums!$V$2,4))-1)*5)+3),kopsavilkums!$X$6:$X$125,0),""))</f>
        <v/>
      </c>
      <c r="Q990" t="str">
        <f>IF(4&gt;IF(25&lt;=(INT(kopsavilkums!$V$2/4)-MOD(kopsavilkums!$V$2,4)),4,IF(25&lt;=INT(kopsavilkums!$V$2/4),5,0)),"",IFERROR(MATCH((IF(25&lt;=(INT(kopsavilkums!$V$2/4)-MOD(kopsavilkums!$V$2,4)),(25-1)*4,(INT(kopsavilkums!$V$2/4)-MOD(kopsavilkums!$V$2,4))*4+(25-(INT(kopsavilkums!$V$2/4)-MOD(kopsavilkums!$V$2,4))-1)*5)+4),kopsavilkums!$X$6:$X$125,0),""))</f>
        <v/>
      </c>
      <c r="R990" t="str">
        <f>IF(5&gt;IF(25&lt;=(INT(kopsavilkums!$V$2/4)-MOD(kopsavilkums!$V$2,4)),4,IF(25&lt;=INT(kopsavilkums!$V$2/4),5,0)),"",IFERROR(MATCH((IF(25&lt;=(INT(kopsavilkums!$V$2/4)-MOD(kopsavilkums!$V$2,4)),(25-1)*4,(INT(kopsavilkums!$V$2/4)-MOD(kopsavilkums!$V$2,4))*4+(25-(INT(kopsavilkums!$V$2/4)-MOD(kopsavilkums!$V$2,4))-1)*5)+5),kopsavilkums!$X$6:$X$125,0),""))</f>
        <v/>
      </c>
    </row>
    <row r="991" spans="1:18" ht="15.75">
      <c r="A991" s="4" t="s">
        <v>63</v>
      </c>
      <c r="B991" s="105" t="str">
        <f>IF(B990="","",25)</f>
        <v/>
      </c>
      <c r="C991" s="105"/>
      <c r="D991" s="105" t="str">
        <f>IF(D990="","",25)</f>
        <v/>
      </c>
      <c r="E991" s="105"/>
      <c r="F991" s="105" t="str">
        <f>IF(F990="","",25)</f>
        <v/>
      </c>
      <c r="G991" s="105"/>
      <c r="H991" s="105" t="str">
        <f>IF(H990="","",25)</f>
        <v/>
      </c>
      <c r="I991" s="105"/>
      <c r="J991" s="105" t="str">
        <f>IF(J990="","",25)</f>
        <v/>
      </c>
      <c r="K991" s="105"/>
    </row>
    <row r="992" spans="1:18" ht="15.75">
      <c r="A992" s="5" t="s">
        <v>64</v>
      </c>
      <c r="B992" s="8" t="str">
        <f>IF(N990="","",INDEX(kopsavilkums!$T$6:$T$125,N990))</f>
        <v/>
      </c>
      <c r="C992" s="8" t="str">
        <f>IF(N990="","",INDEX(kopsavilkums!$U$6:$U$125,N990))</f>
        <v/>
      </c>
      <c r="D992" s="8" t="str">
        <f>IF(O990="","",INDEX(kopsavilkums!$T$6:$T$125,O990))</f>
        <v/>
      </c>
      <c r="E992" s="8" t="str">
        <f>IF(O990="","",INDEX(kopsavilkums!$U$6:$U$125,O990))</f>
        <v/>
      </c>
      <c r="F992" s="8" t="str">
        <f>IF(P990="","",INDEX(kopsavilkums!$T$6:$T$125,P990))</f>
        <v/>
      </c>
      <c r="G992" s="8" t="str">
        <f>IF(P990="","",INDEX(kopsavilkums!$U$6:$U$125,P990))</f>
        <v/>
      </c>
      <c r="H992" s="8" t="str">
        <f>IF(Q990="","",INDEX(kopsavilkums!$T$6:$T$125,Q990))</f>
        <v/>
      </c>
      <c r="I992" s="8" t="str">
        <f>IF(Q990="","",INDEX(kopsavilkums!$U$6:$U$125,Q990))</f>
        <v/>
      </c>
      <c r="J992" s="8" t="str">
        <f>IF(R990="","",INDEX(kopsavilkums!$T$6:$T$125,R990))</f>
        <v/>
      </c>
      <c r="K992" s="8" t="str">
        <f>IF(R990="","",INDEX(kopsavilkums!$U$6:$U$125,R990))</f>
        <v/>
      </c>
    </row>
    <row r="993" spans="1:13">
      <c r="L993" s="17" t="s">
        <v>66</v>
      </c>
      <c r="M993" s="18"/>
    </row>
    <row r="994" spans="1:13">
      <c r="M994" s="2"/>
    </row>
    <row r="995" spans="1:13" ht="18">
      <c r="A995" s="3">
        <v>1</v>
      </c>
      <c r="B995" s="102"/>
      <c r="C995" s="102"/>
      <c r="D995" s="102"/>
      <c r="E995" s="102"/>
      <c r="F995" s="102"/>
      <c r="G995" s="102"/>
      <c r="H995" s="102"/>
      <c r="I995" s="102"/>
      <c r="J995" s="99"/>
      <c r="K995" s="99"/>
      <c r="L995" s="46"/>
      <c r="M995" s="6"/>
    </row>
    <row r="996" spans="1:13" ht="18">
      <c r="A996" s="3">
        <v>2</v>
      </c>
      <c r="B996" s="102"/>
      <c r="C996" s="102"/>
      <c r="D996" s="102"/>
      <c r="E996" s="102"/>
      <c r="F996" s="102"/>
      <c r="G996" s="102"/>
      <c r="H996" s="102"/>
      <c r="I996" s="102"/>
      <c r="J996" s="99"/>
      <c r="K996" s="99"/>
      <c r="L996" s="46"/>
      <c r="M996" s="6"/>
    </row>
    <row r="997" spans="1:13" ht="18">
      <c r="A997" s="3">
        <v>3</v>
      </c>
      <c r="B997" s="102"/>
      <c r="C997" s="102"/>
      <c r="D997" s="102"/>
      <c r="E997" s="102"/>
      <c r="F997" s="102"/>
      <c r="G997" s="102"/>
      <c r="H997" s="102"/>
      <c r="I997" s="102"/>
      <c r="J997" s="99"/>
      <c r="K997" s="99"/>
      <c r="L997" s="46"/>
      <c r="M997" s="6"/>
    </row>
    <row r="998" spans="1:13" ht="18">
      <c r="A998" s="3">
        <v>4</v>
      </c>
      <c r="B998" s="102"/>
      <c r="C998" s="102"/>
      <c r="D998" s="102"/>
      <c r="E998" s="102"/>
      <c r="F998" s="102"/>
      <c r="G998" s="102"/>
      <c r="H998" s="102"/>
      <c r="I998" s="102"/>
      <c r="J998" s="99"/>
      <c r="K998" s="99"/>
      <c r="L998" s="46"/>
      <c r="M998" s="6"/>
    </row>
    <row r="999" spans="1:13" ht="18">
      <c r="A999" s="3">
        <v>5</v>
      </c>
      <c r="B999" s="102"/>
      <c r="C999" s="102"/>
      <c r="D999" s="102"/>
      <c r="E999" s="102"/>
      <c r="F999" s="102"/>
      <c r="G999" s="102"/>
      <c r="H999" s="102"/>
      <c r="I999" s="102"/>
      <c r="J999" s="99"/>
      <c r="K999" s="99"/>
      <c r="L999" s="46"/>
      <c r="M999" s="6"/>
    </row>
    <row r="1000" spans="1:13" ht="18">
      <c r="A1000" s="3">
        <v>6</v>
      </c>
      <c r="B1000" s="102"/>
      <c r="C1000" s="102"/>
      <c r="D1000" s="102"/>
      <c r="E1000" s="102"/>
      <c r="F1000" s="102"/>
      <c r="G1000" s="102"/>
      <c r="H1000" s="102"/>
      <c r="I1000" s="102"/>
      <c r="J1000" s="99"/>
      <c r="K1000" s="99"/>
      <c r="L1000" s="46"/>
      <c r="M1000" s="6"/>
    </row>
    <row r="1001" spans="1:13" ht="18">
      <c r="A1001" s="3">
        <v>7</v>
      </c>
      <c r="B1001" s="102"/>
      <c r="C1001" s="102"/>
      <c r="D1001" s="102"/>
      <c r="E1001" s="102"/>
      <c r="F1001" s="102"/>
      <c r="G1001" s="102"/>
      <c r="H1001" s="102"/>
      <c r="I1001" s="102"/>
      <c r="J1001" s="99"/>
      <c r="K1001" s="99"/>
      <c r="L1001" s="46"/>
      <c r="M1001" s="6"/>
    </row>
    <row r="1002" spans="1:13" ht="18">
      <c r="A1002" s="3">
        <v>8</v>
      </c>
      <c r="B1002" s="102"/>
      <c r="C1002" s="102"/>
      <c r="D1002" s="102"/>
      <c r="E1002" s="102"/>
      <c r="F1002" s="102"/>
      <c r="G1002" s="102"/>
      <c r="H1002" s="102"/>
      <c r="I1002" s="102"/>
      <c r="J1002" s="99"/>
      <c r="K1002" s="99"/>
      <c r="L1002" s="46"/>
      <c r="M1002" s="6"/>
    </row>
    <row r="1003" spans="1:13" ht="18">
      <c r="A1003" s="3">
        <v>9</v>
      </c>
      <c r="B1003" s="102"/>
      <c r="C1003" s="102"/>
      <c r="D1003" s="102"/>
      <c r="E1003" s="102"/>
      <c r="F1003" s="102"/>
      <c r="G1003" s="102"/>
      <c r="H1003" s="102"/>
      <c r="I1003" s="102"/>
      <c r="J1003" s="99"/>
      <c r="K1003" s="99"/>
      <c r="L1003" s="46"/>
      <c r="M1003" s="6"/>
    </row>
    <row r="1004" spans="1:13" ht="18">
      <c r="A1004" s="3">
        <v>10</v>
      </c>
      <c r="B1004" s="102"/>
      <c r="C1004" s="102"/>
      <c r="D1004" s="102"/>
      <c r="E1004" s="102"/>
      <c r="F1004" s="102"/>
      <c r="G1004" s="102"/>
      <c r="H1004" s="102"/>
      <c r="I1004" s="102"/>
      <c r="J1004" s="99"/>
      <c r="K1004" s="99"/>
      <c r="L1004" s="46"/>
      <c r="M1004" s="6"/>
    </row>
    <row r="1005" spans="1:13" ht="18">
      <c r="A1005" s="3">
        <v>11</v>
      </c>
      <c r="B1005" s="102"/>
      <c r="C1005" s="102"/>
      <c r="D1005" s="102"/>
      <c r="E1005" s="102"/>
      <c r="F1005" s="102"/>
      <c r="G1005" s="102"/>
      <c r="H1005" s="102"/>
      <c r="I1005" s="102"/>
      <c r="J1005" s="99"/>
      <c r="K1005" s="99"/>
      <c r="L1005" s="46"/>
      <c r="M1005" s="6"/>
    </row>
    <row r="1006" spans="1:13" ht="18">
      <c r="A1006" s="3">
        <v>12</v>
      </c>
      <c r="B1006" s="102"/>
      <c r="C1006" s="102"/>
      <c r="D1006" s="102"/>
      <c r="E1006" s="102"/>
      <c r="F1006" s="102"/>
      <c r="G1006" s="102"/>
      <c r="H1006" s="102"/>
      <c r="I1006" s="102"/>
      <c r="J1006" s="99"/>
      <c r="K1006" s="99"/>
      <c r="L1006" s="46"/>
      <c r="M1006" s="6"/>
    </row>
    <row r="1007" spans="1:13" ht="18">
      <c r="A1007" s="3">
        <v>13</v>
      </c>
      <c r="B1007" s="102"/>
      <c r="C1007" s="102"/>
      <c r="D1007" s="102"/>
      <c r="E1007" s="102"/>
      <c r="F1007" s="102"/>
      <c r="G1007" s="102"/>
      <c r="H1007" s="102"/>
      <c r="I1007" s="102"/>
      <c r="J1007" s="99"/>
      <c r="K1007" s="99"/>
      <c r="L1007" s="46"/>
      <c r="M1007" s="6"/>
    </row>
    <row r="1008" spans="1:13" ht="18">
      <c r="A1008" s="3">
        <v>14</v>
      </c>
      <c r="B1008" s="102"/>
      <c r="C1008" s="102"/>
      <c r="D1008" s="102"/>
      <c r="E1008" s="102"/>
      <c r="F1008" s="102"/>
      <c r="G1008" s="102"/>
      <c r="H1008" s="102"/>
      <c r="I1008" s="102"/>
      <c r="J1008" s="99"/>
      <c r="K1008" s="99"/>
      <c r="L1008" s="46"/>
      <c r="M1008" s="6"/>
    </row>
    <row r="1009" spans="1:13" ht="18">
      <c r="A1009" s="3">
        <v>15</v>
      </c>
      <c r="B1009" s="102"/>
      <c r="C1009" s="102"/>
      <c r="D1009" s="102"/>
      <c r="E1009" s="102"/>
      <c r="F1009" s="102"/>
      <c r="G1009" s="102"/>
      <c r="H1009" s="102"/>
      <c r="I1009" s="102"/>
      <c r="J1009" s="99"/>
      <c r="K1009" s="99"/>
      <c r="L1009" s="46"/>
      <c r="M1009" s="6"/>
    </row>
    <row r="1010" spans="1:13" ht="18">
      <c r="A1010" s="3">
        <v>16</v>
      </c>
      <c r="B1010" s="102"/>
      <c r="C1010" s="102"/>
      <c r="D1010" s="102"/>
      <c r="E1010" s="102"/>
      <c r="F1010" s="102"/>
      <c r="G1010" s="102"/>
      <c r="H1010" s="102"/>
      <c r="I1010" s="102"/>
      <c r="J1010" s="99"/>
      <c r="K1010" s="99"/>
      <c r="L1010" s="46"/>
      <c r="M1010" s="6"/>
    </row>
    <row r="1011" spans="1:13" ht="18">
      <c r="A1011" s="3">
        <v>17</v>
      </c>
      <c r="B1011" s="102"/>
      <c r="C1011" s="102"/>
      <c r="D1011" s="102"/>
      <c r="E1011" s="102"/>
      <c r="F1011" s="102"/>
      <c r="G1011" s="102"/>
      <c r="H1011" s="102"/>
      <c r="I1011" s="102"/>
      <c r="J1011" s="99"/>
      <c r="K1011" s="99"/>
      <c r="L1011" s="46"/>
      <c r="M1011" s="6"/>
    </row>
    <row r="1012" spans="1:13" ht="18">
      <c r="A1012" s="3">
        <v>18</v>
      </c>
      <c r="B1012" s="102"/>
      <c r="C1012" s="102"/>
      <c r="D1012" s="102"/>
      <c r="E1012" s="102"/>
      <c r="F1012" s="102"/>
      <c r="G1012" s="102"/>
      <c r="H1012" s="102"/>
      <c r="I1012" s="102"/>
      <c r="J1012" s="99"/>
      <c r="K1012" s="99"/>
      <c r="L1012" s="46"/>
      <c r="M1012" s="6"/>
    </row>
    <row r="1013" spans="1:13" ht="18">
      <c r="A1013" s="3">
        <v>19</v>
      </c>
      <c r="B1013" s="102"/>
      <c r="C1013" s="102"/>
      <c r="D1013" s="102"/>
      <c r="E1013" s="102"/>
      <c r="F1013" s="102"/>
      <c r="G1013" s="102"/>
      <c r="H1013" s="102"/>
      <c r="I1013" s="102"/>
      <c r="J1013" s="99"/>
      <c r="K1013" s="99"/>
      <c r="L1013" s="46"/>
      <c r="M1013" s="6"/>
    </row>
    <row r="1014" spans="1:13" ht="18">
      <c r="A1014" s="3">
        <v>20</v>
      </c>
      <c r="B1014" s="102"/>
      <c r="C1014" s="102"/>
      <c r="D1014" s="102"/>
      <c r="E1014" s="102"/>
      <c r="F1014" s="102"/>
      <c r="G1014" s="102"/>
      <c r="H1014" s="102"/>
      <c r="I1014" s="102"/>
      <c r="J1014" s="99"/>
      <c r="K1014" s="99"/>
      <c r="L1014" s="46"/>
      <c r="M1014" s="6"/>
    </row>
    <row r="1015" spans="1:13" ht="18">
      <c r="A1015" s="3">
        <v>21</v>
      </c>
      <c r="B1015" s="102"/>
      <c r="C1015" s="102"/>
      <c r="D1015" s="102"/>
      <c r="E1015" s="102"/>
      <c r="F1015" s="102"/>
      <c r="G1015" s="102"/>
      <c r="H1015" s="102"/>
      <c r="I1015" s="102"/>
      <c r="J1015" s="99"/>
      <c r="K1015" s="99"/>
      <c r="L1015" s="46"/>
      <c r="M1015" s="6"/>
    </row>
    <row r="1016" spans="1:13" ht="18">
      <c r="A1016" s="3">
        <v>22</v>
      </c>
      <c r="B1016" s="102"/>
      <c r="C1016" s="102"/>
      <c r="D1016" s="102"/>
      <c r="E1016" s="102"/>
      <c r="F1016" s="102"/>
      <c r="G1016" s="102"/>
      <c r="H1016" s="102"/>
      <c r="I1016" s="102"/>
      <c r="J1016" s="99"/>
      <c r="K1016" s="99"/>
      <c r="L1016" s="46"/>
      <c r="M1016" s="6"/>
    </row>
    <row r="1017" spans="1:13" ht="18">
      <c r="A1017" s="3">
        <v>23</v>
      </c>
      <c r="B1017" s="102"/>
      <c r="C1017" s="102"/>
      <c r="D1017" s="102"/>
      <c r="E1017" s="102"/>
      <c r="F1017" s="102"/>
      <c r="G1017" s="102"/>
      <c r="H1017" s="102"/>
      <c r="I1017" s="102"/>
      <c r="J1017" s="99"/>
      <c r="K1017" s="99"/>
      <c r="L1017" s="46"/>
      <c r="M1017" s="6"/>
    </row>
    <row r="1018" spans="1:13" ht="18">
      <c r="A1018" s="3">
        <v>24</v>
      </c>
      <c r="B1018" s="102"/>
      <c r="C1018" s="102"/>
      <c r="D1018" s="102"/>
      <c r="E1018" s="102"/>
      <c r="F1018" s="102"/>
      <c r="G1018" s="102"/>
      <c r="H1018" s="102"/>
      <c r="I1018" s="102"/>
      <c r="J1018" s="99"/>
      <c r="K1018" s="99"/>
      <c r="L1018" s="46"/>
      <c r="M1018" s="6"/>
    </row>
    <row r="1019" spans="1:13" ht="18">
      <c r="A1019" s="3">
        <v>25</v>
      </c>
      <c r="B1019" s="102"/>
      <c r="C1019" s="102"/>
      <c r="D1019" s="102"/>
      <c r="E1019" s="102"/>
      <c r="F1019" s="102"/>
      <c r="G1019" s="102"/>
      <c r="H1019" s="102"/>
      <c r="I1019" s="102"/>
      <c r="J1019" s="99"/>
      <c r="K1019" s="99"/>
      <c r="L1019" s="46"/>
      <c r="M1019" s="6"/>
    </row>
    <row r="1020" spans="1:13" ht="18">
      <c r="A1020" s="3">
        <v>26</v>
      </c>
      <c r="B1020" s="102"/>
      <c r="C1020" s="102"/>
      <c r="D1020" s="102"/>
      <c r="E1020" s="102"/>
      <c r="F1020" s="102"/>
      <c r="G1020" s="102"/>
      <c r="H1020" s="102"/>
      <c r="I1020" s="102"/>
      <c r="J1020" s="99"/>
      <c r="K1020" s="99"/>
      <c r="L1020" s="46"/>
      <c r="M1020" s="6"/>
    </row>
    <row r="1021" spans="1:13" ht="18">
      <c r="A1021" s="3">
        <v>27</v>
      </c>
      <c r="B1021" s="102"/>
      <c r="C1021" s="102"/>
      <c r="D1021" s="102"/>
      <c r="E1021" s="102"/>
      <c r="F1021" s="102"/>
      <c r="G1021" s="102"/>
      <c r="H1021" s="102"/>
      <c r="I1021" s="102"/>
      <c r="J1021" s="99"/>
      <c r="K1021" s="99"/>
      <c r="L1021" s="46"/>
      <c r="M1021" s="6"/>
    </row>
    <row r="1022" spans="1:13" ht="18">
      <c r="A1022" s="3">
        <v>28</v>
      </c>
      <c r="B1022" s="102"/>
      <c r="C1022" s="102"/>
      <c r="D1022" s="102"/>
      <c r="E1022" s="102"/>
      <c r="F1022" s="102"/>
      <c r="G1022" s="102"/>
      <c r="H1022" s="102"/>
      <c r="I1022" s="102"/>
      <c r="J1022" s="99"/>
      <c r="K1022" s="99"/>
      <c r="L1022" s="46"/>
      <c r="M1022" s="6"/>
    </row>
    <row r="1023" spans="1:13">
      <c r="B1023" s="102"/>
      <c r="C1023" s="102"/>
      <c r="D1023" s="102"/>
      <c r="E1023" s="102"/>
      <c r="F1023" s="102"/>
      <c r="G1023" s="102"/>
      <c r="H1023" s="102"/>
      <c r="I1023" s="102"/>
      <c r="J1023" s="99"/>
      <c r="K1023" s="99"/>
      <c r="L1023" s="46"/>
      <c r="M1023" s="6"/>
    </row>
    <row r="1024" spans="1:13">
      <c r="B1024" s="97"/>
      <c r="C1024" s="98"/>
      <c r="D1024" s="97"/>
      <c r="E1024" s="98"/>
      <c r="F1024" s="97"/>
      <c r="G1024" s="98"/>
      <c r="H1024" s="97"/>
      <c r="I1024" s="98"/>
      <c r="J1024" s="99"/>
      <c r="K1024" s="99"/>
      <c r="L1024" s="46"/>
      <c r="M1024" s="6"/>
    </row>
    <row r="1025" spans="1:18">
      <c r="B1025" s="93"/>
      <c r="C1025" s="94"/>
      <c r="D1025" s="93"/>
      <c r="E1025" s="94"/>
      <c r="F1025" s="93"/>
      <c r="G1025" s="94"/>
      <c r="H1025" s="93"/>
      <c r="I1025" s="94"/>
      <c r="J1025" s="95"/>
      <c r="K1025" s="96"/>
      <c r="L1025" s="46"/>
      <c r="M1025" s="6"/>
    </row>
    <row r="1026" spans="1:18">
      <c r="M1026" s="6"/>
    </row>
    <row r="1031" spans="1:18">
      <c r="B1031" s="7" t="str">
        <f>kopsavilkums!$J$2</f>
        <v>Dizšvētku Zolītes finālturnīrs Valkā 2026 (RONDO)</v>
      </c>
    </row>
    <row r="1033" spans="1:18">
      <c r="G1033" s="41" t="s">
        <v>62</v>
      </c>
      <c r="H1033" s="43">
        <f>IF(kopsavilkums!$E$2="","",kopsavilkums!$E$2)</f>
        <v>8</v>
      </c>
    </row>
    <row r="1035" spans="1:18" ht="15.75">
      <c r="B1035" s="103" t="str">
        <f>IF(N1035="","",INDEX(kopsavilkums!$C$6:$C$125,N1035))</f>
        <v/>
      </c>
      <c r="C1035" s="104"/>
      <c r="D1035" s="103" t="str">
        <f>IF(O1035="","",INDEX(kopsavilkums!$C$6:$C$125,O1035))</f>
        <v/>
      </c>
      <c r="E1035" s="104"/>
      <c r="F1035" s="103" t="str">
        <f>IF(P1035="","",INDEX(kopsavilkums!$C$6:$C$125,P1035))</f>
        <v/>
      </c>
      <c r="G1035" s="104"/>
      <c r="H1035" s="103" t="str">
        <f>IF(Q1035="","",INDEX(kopsavilkums!$C$6:$C$125,Q1035))</f>
        <v/>
      </c>
      <c r="I1035" s="104"/>
      <c r="J1035" s="103" t="str">
        <f>IF(R1035="","",INDEX(kopsavilkums!$C$6:$C$125,R1035))</f>
        <v/>
      </c>
      <c r="K1035" s="104"/>
      <c r="N1035" t="str">
        <f>IF(1&gt;IF(26&lt;=(INT(kopsavilkums!$V$2/4)-MOD(kopsavilkums!$V$2,4)),4,IF(26&lt;=INT(kopsavilkums!$V$2/4),5,0)),"",IFERROR(MATCH((IF(26&lt;=(INT(kopsavilkums!$V$2/4)-MOD(kopsavilkums!$V$2,4)),(26-1)*4,(INT(kopsavilkums!$V$2/4)-MOD(kopsavilkums!$V$2,4))*4+(26-(INT(kopsavilkums!$V$2/4)-MOD(kopsavilkums!$V$2,4))-1)*5)+1),kopsavilkums!$X$6:$X$125,0),""))</f>
        <v/>
      </c>
      <c r="O1035" t="str">
        <f>IF(2&gt;IF(26&lt;=(INT(kopsavilkums!$V$2/4)-MOD(kopsavilkums!$V$2,4)),4,IF(26&lt;=INT(kopsavilkums!$V$2/4),5,0)),"",IFERROR(MATCH((IF(26&lt;=(INT(kopsavilkums!$V$2/4)-MOD(kopsavilkums!$V$2,4)),(26-1)*4,(INT(kopsavilkums!$V$2/4)-MOD(kopsavilkums!$V$2,4))*4+(26-(INT(kopsavilkums!$V$2/4)-MOD(kopsavilkums!$V$2,4))-1)*5)+2),kopsavilkums!$X$6:$X$125,0),""))</f>
        <v/>
      </c>
      <c r="P1035" t="str">
        <f>IF(3&gt;IF(26&lt;=(INT(kopsavilkums!$V$2/4)-MOD(kopsavilkums!$V$2,4)),4,IF(26&lt;=INT(kopsavilkums!$V$2/4),5,0)),"",IFERROR(MATCH((IF(26&lt;=(INT(kopsavilkums!$V$2/4)-MOD(kopsavilkums!$V$2,4)),(26-1)*4,(INT(kopsavilkums!$V$2/4)-MOD(kopsavilkums!$V$2,4))*4+(26-(INT(kopsavilkums!$V$2/4)-MOD(kopsavilkums!$V$2,4))-1)*5)+3),kopsavilkums!$X$6:$X$125,0),""))</f>
        <v/>
      </c>
      <c r="Q1035" t="str">
        <f>IF(4&gt;IF(26&lt;=(INT(kopsavilkums!$V$2/4)-MOD(kopsavilkums!$V$2,4)),4,IF(26&lt;=INT(kopsavilkums!$V$2/4),5,0)),"",IFERROR(MATCH((IF(26&lt;=(INT(kopsavilkums!$V$2/4)-MOD(kopsavilkums!$V$2,4)),(26-1)*4,(INT(kopsavilkums!$V$2/4)-MOD(kopsavilkums!$V$2,4))*4+(26-(INT(kopsavilkums!$V$2/4)-MOD(kopsavilkums!$V$2,4))-1)*5)+4),kopsavilkums!$X$6:$X$125,0),""))</f>
        <v/>
      </c>
      <c r="R1035" t="str">
        <f>IF(5&gt;IF(26&lt;=(INT(kopsavilkums!$V$2/4)-MOD(kopsavilkums!$V$2,4)),4,IF(26&lt;=INT(kopsavilkums!$V$2/4),5,0)),"",IFERROR(MATCH((IF(26&lt;=(INT(kopsavilkums!$V$2/4)-MOD(kopsavilkums!$V$2,4)),(26-1)*4,(INT(kopsavilkums!$V$2/4)-MOD(kopsavilkums!$V$2,4))*4+(26-(INT(kopsavilkums!$V$2/4)-MOD(kopsavilkums!$V$2,4))-1)*5)+5),kopsavilkums!$X$6:$X$125,0),""))</f>
        <v/>
      </c>
    </row>
    <row r="1036" spans="1:18" ht="15.75">
      <c r="A1036" s="4" t="s">
        <v>63</v>
      </c>
      <c r="B1036" s="105" t="str">
        <f>IF(B1035="","",26)</f>
        <v/>
      </c>
      <c r="C1036" s="105"/>
      <c r="D1036" s="105" t="str">
        <f>IF(D1035="","",26)</f>
        <v/>
      </c>
      <c r="E1036" s="105"/>
      <c r="F1036" s="105" t="str">
        <f>IF(F1035="","",26)</f>
        <v/>
      </c>
      <c r="G1036" s="105"/>
      <c r="H1036" s="105" t="str">
        <f>IF(H1035="","",26)</f>
        <v/>
      </c>
      <c r="I1036" s="105"/>
      <c r="J1036" s="105" t="str">
        <f>IF(J1035="","",26)</f>
        <v/>
      </c>
      <c r="K1036" s="105"/>
    </row>
    <row r="1037" spans="1:18" ht="15.75">
      <c r="A1037" s="5" t="s">
        <v>64</v>
      </c>
      <c r="B1037" s="8" t="str">
        <f>IF(N1035="","",INDEX(kopsavilkums!$T$6:$T$125,N1035))</f>
        <v/>
      </c>
      <c r="C1037" s="8" t="str">
        <f>IF(N1035="","",INDEX(kopsavilkums!$U$6:$U$125,N1035))</f>
        <v/>
      </c>
      <c r="D1037" s="8" t="str">
        <f>IF(O1035="","",INDEX(kopsavilkums!$T$6:$T$125,O1035))</f>
        <v/>
      </c>
      <c r="E1037" s="8" t="str">
        <f>IF(O1035="","",INDEX(kopsavilkums!$U$6:$U$125,O1035))</f>
        <v/>
      </c>
      <c r="F1037" s="8" t="str">
        <f>IF(P1035="","",INDEX(kopsavilkums!$T$6:$T$125,P1035))</f>
        <v/>
      </c>
      <c r="G1037" s="8" t="str">
        <f>IF(P1035="","",INDEX(kopsavilkums!$U$6:$U$125,P1035))</f>
        <v/>
      </c>
      <c r="H1037" s="8" t="str">
        <f>IF(Q1035="","",INDEX(kopsavilkums!$T$6:$T$125,Q1035))</f>
        <v/>
      </c>
      <c r="I1037" s="8" t="str">
        <f>IF(Q1035="","",INDEX(kopsavilkums!$U$6:$U$125,Q1035))</f>
        <v/>
      </c>
      <c r="J1037" s="8" t="str">
        <f>IF(R1035="","",INDEX(kopsavilkums!$T$6:$T$125,R1035))</f>
        <v/>
      </c>
      <c r="K1037" s="8" t="str">
        <f>IF(R1035="","",INDEX(kopsavilkums!$U$6:$U$125,R1035))</f>
        <v/>
      </c>
    </row>
    <row r="1038" spans="1:18">
      <c r="L1038" s="17" t="s">
        <v>66</v>
      </c>
      <c r="M1038" s="18"/>
    </row>
    <row r="1039" spans="1:18">
      <c r="M1039" s="2"/>
    </row>
    <row r="1040" spans="1:18" ht="18">
      <c r="A1040" s="3">
        <v>1</v>
      </c>
      <c r="B1040" s="102"/>
      <c r="C1040" s="102"/>
      <c r="D1040" s="102"/>
      <c r="E1040" s="102"/>
      <c r="F1040" s="102"/>
      <c r="G1040" s="102"/>
      <c r="H1040" s="102"/>
      <c r="I1040" s="102"/>
      <c r="J1040" s="99"/>
      <c r="K1040" s="99"/>
      <c r="L1040" s="46"/>
      <c r="M1040" s="6"/>
    </row>
    <row r="1041" spans="1:13" ht="18">
      <c r="A1041" s="3">
        <v>2</v>
      </c>
      <c r="B1041" s="102"/>
      <c r="C1041" s="102"/>
      <c r="D1041" s="102"/>
      <c r="E1041" s="102"/>
      <c r="F1041" s="102"/>
      <c r="G1041" s="102"/>
      <c r="H1041" s="102"/>
      <c r="I1041" s="102"/>
      <c r="J1041" s="99"/>
      <c r="K1041" s="99"/>
      <c r="L1041" s="46"/>
      <c r="M1041" s="6"/>
    </row>
    <row r="1042" spans="1:13" ht="18">
      <c r="A1042" s="3">
        <v>3</v>
      </c>
      <c r="B1042" s="102"/>
      <c r="C1042" s="102"/>
      <c r="D1042" s="102"/>
      <c r="E1042" s="102"/>
      <c r="F1042" s="102"/>
      <c r="G1042" s="102"/>
      <c r="H1042" s="102"/>
      <c r="I1042" s="102"/>
      <c r="J1042" s="99"/>
      <c r="K1042" s="99"/>
      <c r="L1042" s="46"/>
      <c r="M1042" s="6"/>
    </row>
    <row r="1043" spans="1:13" ht="18">
      <c r="A1043" s="3">
        <v>4</v>
      </c>
      <c r="B1043" s="102"/>
      <c r="C1043" s="102"/>
      <c r="D1043" s="102"/>
      <c r="E1043" s="102"/>
      <c r="F1043" s="102"/>
      <c r="G1043" s="102"/>
      <c r="H1043" s="102"/>
      <c r="I1043" s="102"/>
      <c r="J1043" s="99"/>
      <c r="K1043" s="99"/>
      <c r="L1043" s="46"/>
      <c r="M1043" s="6"/>
    </row>
    <row r="1044" spans="1:13" ht="18">
      <c r="A1044" s="3">
        <v>5</v>
      </c>
      <c r="B1044" s="102"/>
      <c r="C1044" s="102"/>
      <c r="D1044" s="102"/>
      <c r="E1044" s="102"/>
      <c r="F1044" s="102"/>
      <c r="G1044" s="102"/>
      <c r="H1044" s="102"/>
      <c r="I1044" s="102"/>
      <c r="J1044" s="99"/>
      <c r="K1044" s="99"/>
      <c r="L1044" s="46"/>
      <c r="M1044" s="6"/>
    </row>
    <row r="1045" spans="1:13" ht="18">
      <c r="A1045" s="3">
        <v>6</v>
      </c>
      <c r="B1045" s="102"/>
      <c r="C1045" s="102"/>
      <c r="D1045" s="102"/>
      <c r="E1045" s="102"/>
      <c r="F1045" s="102"/>
      <c r="G1045" s="102"/>
      <c r="H1045" s="102"/>
      <c r="I1045" s="102"/>
      <c r="J1045" s="99"/>
      <c r="K1045" s="99"/>
      <c r="L1045" s="46"/>
      <c r="M1045" s="6"/>
    </row>
    <row r="1046" spans="1:13" ht="18">
      <c r="A1046" s="3">
        <v>7</v>
      </c>
      <c r="B1046" s="102"/>
      <c r="C1046" s="102"/>
      <c r="D1046" s="102"/>
      <c r="E1046" s="102"/>
      <c r="F1046" s="102"/>
      <c r="G1046" s="102"/>
      <c r="H1046" s="102"/>
      <c r="I1046" s="102"/>
      <c r="J1046" s="99"/>
      <c r="K1046" s="99"/>
      <c r="L1046" s="46"/>
      <c r="M1046" s="6"/>
    </row>
    <row r="1047" spans="1:13" ht="18">
      <c r="A1047" s="3">
        <v>8</v>
      </c>
      <c r="B1047" s="102"/>
      <c r="C1047" s="102"/>
      <c r="D1047" s="102"/>
      <c r="E1047" s="102"/>
      <c r="F1047" s="102"/>
      <c r="G1047" s="102"/>
      <c r="H1047" s="102"/>
      <c r="I1047" s="102"/>
      <c r="J1047" s="99"/>
      <c r="K1047" s="99"/>
      <c r="L1047" s="46"/>
      <c r="M1047" s="6"/>
    </row>
    <row r="1048" spans="1:13" ht="18">
      <c r="A1048" s="3">
        <v>9</v>
      </c>
      <c r="B1048" s="102"/>
      <c r="C1048" s="102"/>
      <c r="D1048" s="102"/>
      <c r="E1048" s="102"/>
      <c r="F1048" s="102"/>
      <c r="G1048" s="102"/>
      <c r="H1048" s="102"/>
      <c r="I1048" s="102"/>
      <c r="J1048" s="99"/>
      <c r="K1048" s="99"/>
      <c r="L1048" s="46"/>
      <c r="M1048" s="6"/>
    </row>
    <row r="1049" spans="1:13" ht="18">
      <c r="A1049" s="3">
        <v>10</v>
      </c>
      <c r="B1049" s="102"/>
      <c r="C1049" s="102"/>
      <c r="D1049" s="102"/>
      <c r="E1049" s="102"/>
      <c r="F1049" s="102"/>
      <c r="G1049" s="102"/>
      <c r="H1049" s="102"/>
      <c r="I1049" s="102"/>
      <c r="J1049" s="99"/>
      <c r="K1049" s="99"/>
      <c r="L1049" s="46"/>
      <c r="M1049" s="6"/>
    </row>
    <row r="1050" spans="1:13" ht="18">
      <c r="A1050" s="3">
        <v>11</v>
      </c>
      <c r="B1050" s="102"/>
      <c r="C1050" s="102"/>
      <c r="D1050" s="102"/>
      <c r="E1050" s="102"/>
      <c r="F1050" s="102"/>
      <c r="G1050" s="102"/>
      <c r="H1050" s="102"/>
      <c r="I1050" s="102"/>
      <c r="J1050" s="99"/>
      <c r="K1050" s="99"/>
      <c r="L1050" s="46"/>
      <c r="M1050" s="6"/>
    </row>
    <row r="1051" spans="1:13" ht="18">
      <c r="A1051" s="3">
        <v>12</v>
      </c>
      <c r="B1051" s="102"/>
      <c r="C1051" s="102"/>
      <c r="D1051" s="102"/>
      <c r="E1051" s="102"/>
      <c r="F1051" s="102"/>
      <c r="G1051" s="102"/>
      <c r="H1051" s="102"/>
      <c r="I1051" s="102"/>
      <c r="J1051" s="99"/>
      <c r="K1051" s="99"/>
      <c r="L1051" s="46"/>
      <c r="M1051" s="6"/>
    </row>
    <row r="1052" spans="1:13" ht="18">
      <c r="A1052" s="3">
        <v>13</v>
      </c>
      <c r="B1052" s="102"/>
      <c r="C1052" s="102"/>
      <c r="D1052" s="102"/>
      <c r="E1052" s="102"/>
      <c r="F1052" s="102"/>
      <c r="G1052" s="102"/>
      <c r="H1052" s="102"/>
      <c r="I1052" s="102"/>
      <c r="J1052" s="99"/>
      <c r="K1052" s="99"/>
      <c r="L1052" s="46"/>
      <c r="M1052" s="6"/>
    </row>
    <row r="1053" spans="1:13" ht="18">
      <c r="A1053" s="3">
        <v>14</v>
      </c>
      <c r="B1053" s="102"/>
      <c r="C1053" s="102"/>
      <c r="D1053" s="102"/>
      <c r="E1053" s="102"/>
      <c r="F1053" s="102"/>
      <c r="G1053" s="102"/>
      <c r="H1053" s="102"/>
      <c r="I1053" s="102"/>
      <c r="J1053" s="99"/>
      <c r="K1053" s="99"/>
      <c r="L1053" s="46"/>
      <c r="M1053" s="6"/>
    </row>
    <row r="1054" spans="1:13" ht="18">
      <c r="A1054" s="3">
        <v>15</v>
      </c>
      <c r="B1054" s="102"/>
      <c r="C1054" s="102"/>
      <c r="D1054" s="102"/>
      <c r="E1054" s="102"/>
      <c r="F1054" s="102"/>
      <c r="G1054" s="102"/>
      <c r="H1054" s="102"/>
      <c r="I1054" s="102"/>
      <c r="J1054" s="99"/>
      <c r="K1054" s="99"/>
      <c r="L1054" s="46"/>
      <c r="M1054" s="6"/>
    </row>
    <row r="1055" spans="1:13" ht="18">
      <c r="A1055" s="3">
        <v>16</v>
      </c>
      <c r="B1055" s="102"/>
      <c r="C1055" s="102"/>
      <c r="D1055" s="102"/>
      <c r="E1055" s="102"/>
      <c r="F1055" s="102"/>
      <c r="G1055" s="102"/>
      <c r="H1055" s="102"/>
      <c r="I1055" s="102"/>
      <c r="J1055" s="99"/>
      <c r="K1055" s="99"/>
      <c r="L1055" s="46"/>
      <c r="M1055" s="6"/>
    </row>
    <row r="1056" spans="1:13" ht="18">
      <c r="A1056" s="3">
        <v>17</v>
      </c>
      <c r="B1056" s="102"/>
      <c r="C1056" s="102"/>
      <c r="D1056" s="102"/>
      <c r="E1056" s="102"/>
      <c r="F1056" s="102"/>
      <c r="G1056" s="102"/>
      <c r="H1056" s="102"/>
      <c r="I1056" s="102"/>
      <c r="J1056" s="99"/>
      <c r="K1056" s="99"/>
      <c r="L1056" s="46"/>
      <c r="M1056" s="6"/>
    </row>
    <row r="1057" spans="1:13" ht="18">
      <c r="A1057" s="3">
        <v>18</v>
      </c>
      <c r="B1057" s="102"/>
      <c r="C1057" s="102"/>
      <c r="D1057" s="102"/>
      <c r="E1057" s="102"/>
      <c r="F1057" s="102"/>
      <c r="G1057" s="102"/>
      <c r="H1057" s="102"/>
      <c r="I1057" s="102"/>
      <c r="J1057" s="99"/>
      <c r="K1057" s="99"/>
      <c r="L1057" s="46"/>
      <c r="M1057" s="6"/>
    </row>
    <row r="1058" spans="1:13" ht="18">
      <c r="A1058" s="3">
        <v>19</v>
      </c>
      <c r="B1058" s="102"/>
      <c r="C1058" s="102"/>
      <c r="D1058" s="102"/>
      <c r="E1058" s="102"/>
      <c r="F1058" s="102"/>
      <c r="G1058" s="102"/>
      <c r="H1058" s="102"/>
      <c r="I1058" s="102"/>
      <c r="J1058" s="99"/>
      <c r="K1058" s="99"/>
      <c r="L1058" s="46"/>
      <c r="M1058" s="6"/>
    </row>
    <row r="1059" spans="1:13" ht="18">
      <c r="A1059" s="3">
        <v>20</v>
      </c>
      <c r="B1059" s="102"/>
      <c r="C1059" s="102"/>
      <c r="D1059" s="102"/>
      <c r="E1059" s="102"/>
      <c r="F1059" s="102"/>
      <c r="G1059" s="102"/>
      <c r="H1059" s="102"/>
      <c r="I1059" s="102"/>
      <c r="J1059" s="99"/>
      <c r="K1059" s="99"/>
      <c r="L1059" s="46"/>
      <c r="M1059" s="6"/>
    </row>
    <row r="1060" spans="1:13" ht="18">
      <c r="A1060" s="3">
        <v>21</v>
      </c>
      <c r="B1060" s="102"/>
      <c r="C1060" s="102"/>
      <c r="D1060" s="102"/>
      <c r="E1060" s="102"/>
      <c r="F1060" s="102"/>
      <c r="G1060" s="102"/>
      <c r="H1060" s="102"/>
      <c r="I1060" s="102"/>
      <c r="J1060" s="99"/>
      <c r="K1060" s="99"/>
      <c r="L1060" s="46"/>
      <c r="M1060" s="6"/>
    </row>
    <row r="1061" spans="1:13" ht="18">
      <c r="A1061" s="3">
        <v>22</v>
      </c>
      <c r="B1061" s="102"/>
      <c r="C1061" s="102"/>
      <c r="D1061" s="102"/>
      <c r="E1061" s="102"/>
      <c r="F1061" s="102"/>
      <c r="G1061" s="102"/>
      <c r="H1061" s="102"/>
      <c r="I1061" s="102"/>
      <c r="J1061" s="99"/>
      <c r="K1061" s="99"/>
      <c r="L1061" s="46"/>
      <c r="M1061" s="6"/>
    </row>
    <row r="1062" spans="1:13" ht="18">
      <c r="A1062" s="3">
        <v>23</v>
      </c>
      <c r="B1062" s="102"/>
      <c r="C1062" s="102"/>
      <c r="D1062" s="102"/>
      <c r="E1062" s="102"/>
      <c r="F1062" s="102"/>
      <c r="G1062" s="102"/>
      <c r="H1062" s="102"/>
      <c r="I1062" s="102"/>
      <c r="J1062" s="99"/>
      <c r="K1062" s="99"/>
      <c r="L1062" s="46"/>
      <c r="M1062" s="6"/>
    </row>
    <row r="1063" spans="1:13" ht="18">
      <c r="A1063" s="3">
        <v>24</v>
      </c>
      <c r="B1063" s="102"/>
      <c r="C1063" s="102"/>
      <c r="D1063" s="102"/>
      <c r="E1063" s="102"/>
      <c r="F1063" s="102"/>
      <c r="G1063" s="102"/>
      <c r="H1063" s="102"/>
      <c r="I1063" s="102"/>
      <c r="J1063" s="99"/>
      <c r="K1063" s="99"/>
      <c r="L1063" s="46"/>
      <c r="M1063" s="6"/>
    </row>
    <row r="1064" spans="1:13" ht="18">
      <c r="A1064" s="3">
        <v>25</v>
      </c>
      <c r="B1064" s="102"/>
      <c r="C1064" s="102"/>
      <c r="D1064" s="102"/>
      <c r="E1064" s="102"/>
      <c r="F1064" s="102"/>
      <c r="G1064" s="102"/>
      <c r="H1064" s="102"/>
      <c r="I1064" s="102"/>
      <c r="J1064" s="99"/>
      <c r="K1064" s="99"/>
      <c r="L1064" s="46"/>
      <c r="M1064" s="6"/>
    </row>
    <row r="1065" spans="1:13" ht="18">
      <c r="A1065" s="3">
        <v>26</v>
      </c>
      <c r="B1065" s="102"/>
      <c r="C1065" s="102"/>
      <c r="D1065" s="102"/>
      <c r="E1065" s="102"/>
      <c r="F1065" s="102"/>
      <c r="G1065" s="102"/>
      <c r="H1065" s="102"/>
      <c r="I1065" s="102"/>
      <c r="J1065" s="99"/>
      <c r="K1065" s="99"/>
      <c r="L1065" s="46"/>
      <c r="M1065" s="6"/>
    </row>
    <row r="1066" spans="1:13" ht="18">
      <c r="A1066" s="3">
        <v>27</v>
      </c>
      <c r="B1066" s="102"/>
      <c r="C1066" s="102"/>
      <c r="D1066" s="102"/>
      <c r="E1066" s="102"/>
      <c r="F1066" s="102"/>
      <c r="G1066" s="102"/>
      <c r="H1066" s="102"/>
      <c r="I1066" s="102"/>
      <c r="J1066" s="99"/>
      <c r="K1066" s="99"/>
      <c r="L1066" s="46"/>
      <c r="M1066" s="6"/>
    </row>
    <row r="1067" spans="1:13" ht="18">
      <c r="A1067" s="3">
        <v>28</v>
      </c>
      <c r="B1067" s="102"/>
      <c r="C1067" s="102"/>
      <c r="D1067" s="102"/>
      <c r="E1067" s="102"/>
      <c r="F1067" s="102"/>
      <c r="G1067" s="102"/>
      <c r="H1067" s="102"/>
      <c r="I1067" s="102"/>
      <c r="J1067" s="99"/>
      <c r="K1067" s="99"/>
      <c r="L1067" s="46"/>
      <c r="M1067" s="6"/>
    </row>
    <row r="1068" spans="1:13">
      <c r="B1068" s="102"/>
      <c r="C1068" s="102"/>
      <c r="D1068" s="102"/>
      <c r="E1068" s="102"/>
      <c r="F1068" s="102"/>
      <c r="G1068" s="102"/>
      <c r="H1068" s="102"/>
      <c r="I1068" s="102"/>
      <c r="J1068" s="99"/>
      <c r="K1068" s="99"/>
      <c r="L1068" s="46"/>
      <c r="M1068" s="6"/>
    </row>
    <row r="1069" spans="1:13">
      <c r="B1069" s="97"/>
      <c r="C1069" s="98"/>
      <c r="D1069" s="97"/>
      <c r="E1069" s="98"/>
      <c r="F1069" s="97"/>
      <c r="G1069" s="98"/>
      <c r="H1069" s="97"/>
      <c r="I1069" s="98"/>
      <c r="J1069" s="99"/>
      <c r="K1069" s="99"/>
      <c r="L1069" s="46"/>
      <c r="M1069" s="6"/>
    </row>
    <row r="1070" spans="1:13">
      <c r="B1070" s="93"/>
      <c r="C1070" s="94"/>
      <c r="D1070" s="93"/>
      <c r="E1070" s="94"/>
      <c r="F1070" s="93"/>
      <c r="G1070" s="94"/>
      <c r="H1070" s="93"/>
      <c r="I1070" s="94"/>
      <c r="J1070" s="95"/>
      <c r="K1070" s="96"/>
      <c r="L1070" s="46"/>
      <c r="M1070" s="6"/>
    </row>
    <row r="1071" spans="1:13">
      <c r="M1071" s="6"/>
    </row>
    <row r="1076" spans="1:18">
      <c r="B1076" s="7" t="str">
        <f>kopsavilkums!$J$2</f>
        <v>Dizšvētku Zolītes finālturnīrs Valkā 2026 (RONDO)</v>
      </c>
    </row>
    <row r="1078" spans="1:18">
      <c r="G1078" s="41" t="s">
        <v>62</v>
      </c>
      <c r="H1078" s="43">
        <f>IF(kopsavilkums!$E$2="","",kopsavilkums!$E$2)</f>
        <v>8</v>
      </c>
    </row>
    <row r="1080" spans="1:18" ht="15.75">
      <c r="B1080" s="103" t="str">
        <f>IF(N1080="","",INDEX(kopsavilkums!$C$6:$C$125,N1080))</f>
        <v/>
      </c>
      <c r="C1080" s="104"/>
      <c r="D1080" s="103" t="str">
        <f>IF(O1080="","",INDEX(kopsavilkums!$C$6:$C$125,O1080))</f>
        <v/>
      </c>
      <c r="E1080" s="104"/>
      <c r="F1080" s="103" t="str">
        <f>IF(P1080="","",INDEX(kopsavilkums!$C$6:$C$125,P1080))</f>
        <v/>
      </c>
      <c r="G1080" s="104"/>
      <c r="H1080" s="103" t="str">
        <f>IF(Q1080="","",INDEX(kopsavilkums!$C$6:$C$125,Q1080))</f>
        <v/>
      </c>
      <c r="I1080" s="104"/>
      <c r="J1080" s="103" t="str">
        <f>IF(R1080="","",INDEX(kopsavilkums!$C$6:$C$125,R1080))</f>
        <v/>
      </c>
      <c r="K1080" s="104"/>
      <c r="N1080" t="str">
        <f>IF(1&gt;IF(27&lt;=(INT(kopsavilkums!$V$2/4)-MOD(kopsavilkums!$V$2,4)),4,IF(27&lt;=INT(kopsavilkums!$V$2/4),5,0)),"",IFERROR(MATCH((IF(27&lt;=(INT(kopsavilkums!$V$2/4)-MOD(kopsavilkums!$V$2,4)),(27-1)*4,(INT(kopsavilkums!$V$2/4)-MOD(kopsavilkums!$V$2,4))*4+(27-(INT(kopsavilkums!$V$2/4)-MOD(kopsavilkums!$V$2,4))-1)*5)+1),kopsavilkums!$X$6:$X$125,0),""))</f>
        <v/>
      </c>
      <c r="O1080" t="str">
        <f>IF(2&gt;IF(27&lt;=(INT(kopsavilkums!$V$2/4)-MOD(kopsavilkums!$V$2,4)),4,IF(27&lt;=INT(kopsavilkums!$V$2/4),5,0)),"",IFERROR(MATCH((IF(27&lt;=(INT(kopsavilkums!$V$2/4)-MOD(kopsavilkums!$V$2,4)),(27-1)*4,(INT(kopsavilkums!$V$2/4)-MOD(kopsavilkums!$V$2,4))*4+(27-(INT(kopsavilkums!$V$2/4)-MOD(kopsavilkums!$V$2,4))-1)*5)+2),kopsavilkums!$X$6:$X$125,0),""))</f>
        <v/>
      </c>
      <c r="P1080" t="str">
        <f>IF(3&gt;IF(27&lt;=(INT(kopsavilkums!$V$2/4)-MOD(kopsavilkums!$V$2,4)),4,IF(27&lt;=INT(kopsavilkums!$V$2/4),5,0)),"",IFERROR(MATCH((IF(27&lt;=(INT(kopsavilkums!$V$2/4)-MOD(kopsavilkums!$V$2,4)),(27-1)*4,(INT(kopsavilkums!$V$2/4)-MOD(kopsavilkums!$V$2,4))*4+(27-(INT(kopsavilkums!$V$2/4)-MOD(kopsavilkums!$V$2,4))-1)*5)+3),kopsavilkums!$X$6:$X$125,0),""))</f>
        <v/>
      </c>
      <c r="Q1080" t="str">
        <f>IF(4&gt;IF(27&lt;=(INT(kopsavilkums!$V$2/4)-MOD(kopsavilkums!$V$2,4)),4,IF(27&lt;=INT(kopsavilkums!$V$2/4),5,0)),"",IFERROR(MATCH((IF(27&lt;=(INT(kopsavilkums!$V$2/4)-MOD(kopsavilkums!$V$2,4)),(27-1)*4,(INT(kopsavilkums!$V$2/4)-MOD(kopsavilkums!$V$2,4))*4+(27-(INT(kopsavilkums!$V$2/4)-MOD(kopsavilkums!$V$2,4))-1)*5)+4),kopsavilkums!$X$6:$X$125,0),""))</f>
        <v/>
      </c>
      <c r="R1080" t="str">
        <f>IF(5&gt;IF(27&lt;=(INT(kopsavilkums!$V$2/4)-MOD(kopsavilkums!$V$2,4)),4,IF(27&lt;=INT(kopsavilkums!$V$2/4),5,0)),"",IFERROR(MATCH((IF(27&lt;=(INT(kopsavilkums!$V$2/4)-MOD(kopsavilkums!$V$2,4)),(27-1)*4,(INT(kopsavilkums!$V$2/4)-MOD(kopsavilkums!$V$2,4))*4+(27-(INT(kopsavilkums!$V$2/4)-MOD(kopsavilkums!$V$2,4))-1)*5)+5),kopsavilkums!$X$6:$X$125,0),""))</f>
        <v/>
      </c>
    </row>
    <row r="1081" spans="1:18" ht="15.75">
      <c r="A1081" s="4" t="s">
        <v>63</v>
      </c>
      <c r="B1081" s="105" t="str">
        <f>IF(B1080="","",27)</f>
        <v/>
      </c>
      <c r="C1081" s="105"/>
      <c r="D1081" s="105" t="str">
        <f>IF(D1080="","",27)</f>
        <v/>
      </c>
      <c r="E1081" s="105"/>
      <c r="F1081" s="105" t="str">
        <f>IF(F1080="","",27)</f>
        <v/>
      </c>
      <c r="G1081" s="105"/>
      <c r="H1081" s="105" t="str">
        <f>IF(H1080="","",27)</f>
        <v/>
      </c>
      <c r="I1081" s="105"/>
      <c r="J1081" s="105" t="str">
        <f>IF(J1080="","",27)</f>
        <v/>
      </c>
      <c r="K1081" s="105"/>
    </row>
    <row r="1082" spans="1:18" ht="15.75">
      <c r="A1082" s="5" t="s">
        <v>64</v>
      </c>
      <c r="B1082" s="8" t="str">
        <f>IF(N1080="","",INDEX(kopsavilkums!$T$6:$T$125,N1080))</f>
        <v/>
      </c>
      <c r="C1082" s="8" t="str">
        <f>IF(N1080="","",INDEX(kopsavilkums!$U$6:$U$125,N1080))</f>
        <v/>
      </c>
      <c r="D1082" s="8" t="str">
        <f>IF(O1080="","",INDEX(kopsavilkums!$T$6:$T$125,O1080))</f>
        <v/>
      </c>
      <c r="E1082" s="8" t="str">
        <f>IF(O1080="","",INDEX(kopsavilkums!$U$6:$U$125,O1080))</f>
        <v/>
      </c>
      <c r="F1082" s="8" t="str">
        <f>IF(P1080="","",INDEX(kopsavilkums!$T$6:$T$125,P1080))</f>
        <v/>
      </c>
      <c r="G1082" s="8" t="str">
        <f>IF(P1080="","",INDEX(kopsavilkums!$U$6:$U$125,P1080))</f>
        <v/>
      </c>
      <c r="H1082" s="8" t="str">
        <f>IF(Q1080="","",INDEX(kopsavilkums!$T$6:$T$125,Q1080))</f>
        <v/>
      </c>
      <c r="I1082" s="8" t="str">
        <f>IF(Q1080="","",INDEX(kopsavilkums!$U$6:$U$125,Q1080))</f>
        <v/>
      </c>
      <c r="J1082" s="8" t="str">
        <f>IF(R1080="","",INDEX(kopsavilkums!$T$6:$T$125,R1080))</f>
        <v/>
      </c>
      <c r="K1082" s="8" t="str">
        <f>IF(R1080="","",INDEX(kopsavilkums!$U$6:$U$125,R1080))</f>
        <v/>
      </c>
    </row>
    <row r="1083" spans="1:18">
      <c r="L1083" s="17" t="s">
        <v>66</v>
      </c>
      <c r="M1083" s="18"/>
    </row>
    <row r="1084" spans="1:18">
      <c r="M1084" s="2"/>
    </row>
    <row r="1085" spans="1:18" ht="18">
      <c r="A1085" s="3">
        <v>1</v>
      </c>
      <c r="B1085" s="102"/>
      <c r="C1085" s="102"/>
      <c r="D1085" s="102"/>
      <c r="E1085" s="102"/>
      <c r="F1085" s="102"/>
      <c r="G1085" s="102"/>
      <c r="H1085" s="102"/>
      <c r="I1085" s="102"/>
      <c r="J1085" s="99"/>
      <c r="K1085" s="99"/>
      <c r="L1085" s="46"/>
      <c r="M1085" s="6"/>
    </row>
    <row r="1086" spans="1:18" ht="18">
      <c r="A1086" s="3">
        <v>2</v>
      </c>
      <c r="B1086" s="102"/>
      <c r="C1086" s="102"/>
      <c r="D1086" s="102"/>
      <c r="E1086" s="102"/>
      <c r="F1086" s="102"/>
      <c r="G1086" s="102"/>
      <c r="H1086" s="102"/>
      <c r="I1086" s="102"/>
      <c r="J1086" s="99"/>
      <c r="K1086" s="99"/>
      <c r="L1086" s="46"/>
      <c r="M1086" s="6"/>
    </row>
    <row r="1087" spans="1:18" ht="18">
      <c r="A1087" s="3">
        <v>3</v>
      </c>
      <c r="B1087" s="102"/>
      <c r="C1087" s="102"/>
      <c r="D1087" s="102"/>
      <c r="E1087" s="102"/>
      <c r="F1087" s="102"/>
      <c r="G1087" s="102"/>
      <c r="H1087" s="102"/>
      <c r="I1087" s="102"/>
      <c r="J1087" s="99"/>
      <c r="K1087" s="99"/>
      <c r="L1087" s="46"/>
      <c r="M1087" s="6"/>
    </row>
    <row r="1088" spans="1:18" ht="18">
      <c r="A1088" s="3">
        <v>4</v>
      </c>
      <c r="B1088" s="102"/>
      <c r="C1088" s="102"/>
      <c r="D1088" s="102"/>
      <c r="E1088" s="102"/>
      <c r="F1088" s="102"/>
      <c r="G1088" s="102"/>
      <c r="H1088" s="102"/>
      <c r="I1088" s="102"/>
      <c r="J1088" s="99"/>
      <c r="K1088" s="99"/>
      <c r="L1088" s="46"/>
      <c r="M1088" s="6"/>
    </row>
    <row r="1089" spans="1:13" ht="18">
      <c r="A1089" s="3">
        <v>5</v>
      </c>
      <c r="B1089" s="102"/>
      <c r="C1089" s="102"/>
      <c r="D1089" s="102"/>
      <c r="E1089" s="102"/>
      <c r="F1089" s="102"/>
      <c r="G1089" s="102"/>
      <c r="H1089" s="102"/>
      <c r="I1089" s="102"/>
      <c r="J1089" s="99"/>
      <c r="K1089" s="99"/>
      <c r="L1089" s="46"/>
      <c r="M1089" s="6"/>
    </row>
    <row r="1090" spans="1:13" ht="18">
      <c r="A1090" s="3">
        <v>6</v>
      </c>
      <c r="B1090" s="102"/>
      <c r="C1090" s="102"/>
      <c r="D1090" s="102"/>
      <c r="E1090" s="102"/>
      <c r="F1090" s="102"/>
      <c r="G1090" s="102"/>
      <c r="H1090" s="102"/>
      <c r="I1090" s="102"/>
      <c r="J1090" s="99"/>
      <c r="K1090" s="99"/>
      <c r="L1090" s="46"/>
      <c r="M1090" s="6"/>
    </row>
    <row r="1091" spans="1:13" ht="18">
      <c r="A1091" s="3">
        <v>7</v>
      </c>
      <c r="B1091" s="102"/>
      <c r="C1091" s="102"/>
      <c r="D1091" s="102"/>
      <c r="E1091" s="102"/>
      <c r="F1091" s="102"/>
      <c r="G1091" s="102"/>
      <c r="H1091" s="102"/>
      <c r="I1091" s="102"/>
      <c r="J1091" s="99"/>
      <c r="K1091" s="99"/>
      <c r="L1091" s="46"/>
      <c r="M1091" s="6"/>
    </row>
    <row r="1092" spans="1:13" ht="18">
      <c r="A1092" s="3">
        <v>8</v>
      </c>
      <c r="B1092" s="102"/>
      <c r="C1092" s="102"/>
      <c r="D1092" s="102"/>
      <c r="E1092" s="102"/>
      <c r="F1092" s="102"/>
      <c r="G1092" s="102"/>
      <c r="H1092" s="102"/>
      <c r="I1092" s="102"/>
      <c r="J1092" s="99"/>
      <c r="K1092" s="99"/>
      <c r="L1092" s="46"/>
      <c r="M1092" s="6"/>
    </row>
    <row r="1093" spans="1:13" ht="18">
      <c r="A1093" s="3">
        <v>9</v>
      </c>
      <c r="B1093" s="102"/>
      <c r="C1093" s="102"/>
      <c r="D1093" s="102"/>
      <c r="E1093" s="102"/>
      <c r="F1093" s="102"/>
      <c r="G1093" s="102"/>
      <c r="H1093" s="102"/>
      <c r="I1093" s="102"/>
      <c r="J1093" s="99"/>
      <c r="K1093" s="99"/>
      <c r="L1093" s="46"/>
      <c r="M1093" s="6"/>
    </row>
    <row r="1094" spans="1:13" ht="18">
      <c r="A1094" s="3">
        <v>10</v>
      </c>
      <c r="B1094" s="102"/>
      <c r="C1094" s="102"/>
      <c r="D1094" s="102"/>
      <c r="E1094" s="102"/>
      <c r="F1094" s="102"/>
      <c r="G1094" s="102"/>
      <c r="H1094" s="102"/>
      <c r="I1094" s="102"/>
      <c r="J1094" s="99"/>
      <c r="K1094" s="99"/>
      <c r="L1094" s="46"/>
      <c r="M1094" s="6"/>
    </row>
    <row r="1095" spans="1:13" ht="18">
      <c r="A1095" s="3">
        <v>11</v>
      </c>
      <c r="B1095" s="102"/>
      <c r="C1095" s="102"/>
      <c r="D1095" s="102"/>
      <c r="E1095" s="102"/>
      <c r="F1095" s="102"/>
      <c r="G1095" s="102"/>
      <c r="H1095" s="102"/>
      <c r="I1095" s="102"/>
      <c r="J1095" s="99"/>
      <c r="K1095" s="99"/>
      <c r="L1095" s="46"/>
      <c r="M1095" s="6"/>
    </row>
    <row r="1096" spans="1:13" ht="18">
      <c r="A1096" s="3">
        <v>12</v>
      </c>
      <c r="B1096" s="102"/>
      <c r="C1096" s="102"/>
      <c r="D1096" s="102"/>
      <c r="E1096" s="102"/>
      <c r="F1096" s="102"/>
      <c r="G1096" s="102"/>
      <c r="H1096" s="102"/>
      <c r="I1096" s="102"/>
      <c r="J1096" s="99"/>
      <c r="K1096" s="99"/>
      <c r="L1096" s="46"/>
      <c r="M1096" s="6"/>
    </row>
    <row r="1097" spans="1:13" ht="18">
      <c r="A1097" s="3">
        <v>13</v>
      </c>
      <c r="B1097" s="102"/>
      <c r="C1097" s="102"/>
      <c r="D1097" s="102"/>
      <c r="E1097" s="102"/>
      <c r="F1097" s="102"/>
      <c r="G1097" s="102"/>
      <c r="H1097" s="102"/>
      <c r="I1097" s="102"/>
      <c r="J1097" s="99"/>
      <c r="K1097" s="99"/>
      <c r="L1097" s="46"/>
      <c r="M1097" s="6"/>
    </row>
    <row r="1098" spans="1:13" ht="18">
      <c r="A1098" s="3">
        <v>14</v>
      </c>
      <c r="B1098" s="102"/>
      <c r="C1098" s="102"/>
      <c r="D1098" s="102"/>
      <c r="E1098" s="102"/>
      <c r="F1098" s="102"/>
      <c r="G1098" s="102"/>
      <c r="H1098" s="102"/>
      <c r="I1098" s="102"/>
      <c r="J1098" s="99"/>
      <c r="K1098" s="99"/>
      <c r="L1098" s="46"/>
      <c r="M1098" s="6"/>
    </row>
    <row r="1099" spans="1:13" ht="18">
      <c r="A1099" s="3">
        <v>15</v>
      </c>
      <c r="B1099" s="102"/>
      <c r="C1099" s="102"/>
      <c r="D1099" s="102"/>
      <c r="E1099" s="102"/>
      <c r="F1099" s="102"/>
      <c r="G1099" s="102"/>
      <c r="H1099" s="102"/>
      <c r="I1099" s="102"/>
      <c r="J1099" s="99"/>
      <c r="K1099" s="99"/>
      <c r="L1099" s="46"/>
      <c r="M1099" s="6"/>
    </row>
    <row r="1100" spans="1:13" ht="18">
      <c r="A1100" s="3">
        <v>16</v>
      </c>
      <c r="B1100" s="102"/>
      <c r="C1100" s="102"/>
      <c r="D1100" s="102"/>
      <c r="E1100" s="102"/>
      <c r="F1100" s="102"/>
      <c r="G1100" s="102"/>
      <c r="H1100" s="102"/>
      <c r="I1100" s="102"/>
      <c r="J1100" s="99"/>
      <c r="K1100" s="99"/>
      <c r="L1100" s="46"/>
      <c r="M1100" s="6"/>
    </row>
    <row r="1101" spans="1:13" ht="18">
      <c r="A1101" s="3">
        <v>17</v>
      </c>
      <c r="B1101" s="102"/>
      <c r="C1101" s="102"/>
      <c r="D1101" s="102"/>
      <c r="E1101" s="102"/>
      <c r="F1101" s="102"/>
      <c r="G1101" s="102"/>
      <c r="H1101" s="102"/>
      <c r="I1101" s="102"/>
      <c r="J1101" s="99"/>
      <c r="K1101" s="99"/>
      <c r="L1101" s="46"/>
      <c r="M1101" s="6"/>
    </row>
    <row r="1102" spans="1:13" ht="18">
      <c r="A1102" s="3">
        <v>18</v>
      </c>
      <c r="B1102" s="102"/>
      <c r="C1102" s="102"/>
      <c r="D1102" s="102"/>
      <c r="E1102" s="102"/>
      <c r="F1102" s="102"/>
      <c r="G1102" s="102"/>
      <c r="H1102" s="102"/>
      <c r="I1102" s="102"/>
      <c r="J1102" s="99"/>
      <c r="K1102" s="99"/>
      <c r="L1102" s="46"/>
      <c r="M1102" s="6"/>
    </row>
    <row r="1103" spans="1:13" ht="18">
      <c r="A1103" s="3">
        <v>19</v>
      </c>
      <c r="B1103" s="102"/>
      <c r="C1103" s="102"/>
      <c r="D1103" s="102"/>
      <c r="E1103" s="102"/>
      <c r="F1103" s="102"/>
      <c r="G1103" s="102"/>
      <c r="H1103" s="102"/>
      <c r="I1103" s="102"/>
      <c r="J1103" s="99"/>
      <c r="K1103" s="99"/>
      <c r="L1103" s="46"/>
      <c r="M1103" s="6"/>
    </row>
    <row r="1104" spans="1:13" ht="18">
      <c r="A1104" s="3">
        <v>20</v>
      </c>
      <c r="B1104" s="102"/>
      <c r="C1104" s="102"/>
      <c r="D1104" s="102"/>
      <c r="E1104" s="102"/>
      <c r="F1104" s="102"/>
      <c r="G1104" s="102"/>
      <c r="H1104" s="102"/>
      <c r="I1104" s="102"/>
      <c r="J1104" s="99"/>
      <c r="K1104" s="99"/>
      <c r="L1104" s="46"/>
      <c r="M1104" s="6"/>
    </row>
    <row r="1105" spans="1:13" ht="18">
      <c r="A1105" s="3">
        <v>21</v>
      </c>
      <c r="B1105" s="102"/>
      <c r="C1105" s="102"/>
      <c r="D1105" s="102"/>
      <c r="E1105" s="102"/>
      <c r="F1105" s="102"/>
      <c r="G1105" s="102"/>
      <c r="H1105" s="102"/>
      <c r="I1105" s="102"/>
      <c r="J1105" s="99"/>
      <c r="K1105" s="99"/>
      <c r="L1105" s="46"/>
      <c r="M1105" s="6"/>
    </row>
    <row r="1106" spans="1:13" ht="18">
      <c r="A1106" s="3">
        <v>22</v>
      </c>
      <c r="B1106" s="102"/>
      <c r="C1106" s="102"/>
      <c r="D1106" s="102"/>
      <c r="E1106" s="102"/>
      <c r="F1106" s="102"/>
      <c r="G1106" s="102"/>
      <c r="H1106" s="102"/>
      <c r="I1106" s="102"/>
      <c r="J1106" s="99"/>
      <c r="K1106" s="99"/>
      <c r="L1106" s="46"/>
      <c r="M1106" s="6"/>
    </row>
    <row r="1107" spans="1:13" ht="18">
      <c r="A1107" s="3">
        <v>23</v>
      </c>
      <c r="B1107" s="102"/>
      <c r="C1107" s="102"/>
      <c r="D1107" s="102"/>
      <c r="E1107" s="102"/>
      <c r="F1107" s="102"/>
      <c r="G1107" s="102"/>
      <c r="H1107" s="102"/>
      <c r="I1107" s="102"/>
      <c r="J1107" s="99"/>
      <c r="K1107" s="99"/>
      <c r="L1107" s="46"/>
      <c r="M1107" s="6"/>
    </row>
    <row r="1108" spans="1:13" ht="18">
      <c r="A1108" s="3">
        <v>24</v>
      </c>
      <c r="B1108" s="102"/>
      <c r="C1108" s="102"/>
      <c r="D1108" s="102"/>
      <c r="E1108" s="102"/>
      <c r="F1108" s="102"/>
      <c r="G1108" s="102"/>
      <c r="H1108" s="102"/>
      <c r="I1108" s="102"/>
      <c r="J1108" s="99"/>
      <c r="K1108" s="99"/>
      <c r="L1108" s="46"/>
      <c r="M1108" s="6"/>
    </row>
    <row r="1109" spans="1:13" ht="18">
      <c r="A1109" s="3">
        <v>25</v>
      </c>
      <c r="B1109" s="102"/>
      <c r="C1109" s="102"/>
      <c r="D1109" s="102"/>
      <c r="E1109" s="102"/>
      <c r="F1109" s="102"/>
      <c r="G1109" s="102"/>
      <c r="H1109" s="102"/>
      <c r="I1109" s="102"/>
      <c r="J1109" s="99"/>
      <c r="K1109" s="99"/>
      <c r="L1109" s="46"/>
      <c r="M1109" s="6"/>
    </row>
    <row r="1110" spans="1:13" ht="18">
      <c r="A1110" s="3">
        <v>26</v>
      </c>
      <c r="B1110" s="102"/>
      <c r="C1110" s="102"/>
      <c r="D1110" s="102"/>
      <c r="E1110" s="102"/>
      <c r="F1110" s="102"/>
      <c r="G1110" s="102"/>
      <c r="H1110" s="102"/>
      <c r="I1110" s="102"/>
      <c r="J1110" s="99"/>
      <c r="K1110" s="99"/>
      <c r="L1110" s="46"/>
      <c r="M1110" s="6"/>
    </row>
    <row r="1111" spans="1:13" ht="18">
      <c r="A1111" s="3">
        <v>27</v>
      </c>
      <c r="B1111" s="102"/>
      <c r="C1111" s="102"/>
      <c r="D1111" s="102"/>
      <c r="E1111" s="102"/>
      <c r="F1111" s="102"/>
      <c r="G1111" s="102"/>
      <c r="H1111" s="102"/>
      <c r="I1111" s="102"/>
      <c r="J1111" s="99"/>
      <c r="K1111" s="99"/>
      <c r="L1111" s="46"/>
      <c r="M1111" s="6"/>
    </row>
    <row r="1112" spans="1:13" ht="18">
      <c r="A1112" s="3">
        <v>28</v>
      </c>
      <c r="B1112" s="102"/>
      <c r="C1112" s="102"/>
      <c r="D1112" s="102"/>
      <c r="E1112" s="102"/>
      <c r="F1112" s="102"/>
      <c r="G1112" s="102"/>
      <c r="H1112" s="102"/>
      <c r="I1112" s="102"/>
      <c r="J1112" s="99"/>
      <c r="K1112" s="99"/>
      <c r="L1112" s="46"/>
      <c r="M1112" s="6"/>
    </row>
    <row r="1113" spans="1:13">
      <c r="B1113" s="102"/>
      <c r="C1113" s="102"/>
      <c r="D1113" s="102"/>
      <c r="E1113" s="102"/>
      <c r="F1113" s="102"/>
      <c r="G1113" s="102"/>
      <c r="H1113" s="102"/>
      <c r="I1113" s="102"/>
      <c r="J1113" s="99"/>
      <c r="K1113" s="99"/>
      <c r="L1113" s="46"/>
      <c r="M1113" s="6"/>
    </row>
    <row r="1114" spans="1:13">
      <c r="B1114" s="97"/>
      <c r="C1114" s="98"/>
      <c r="D1114" s="97"/>
      <c r="E1114" s="98"/>
      <c r="F1114" s="97"/>
      <c r="G1114" s="98"/>
      <c r="H1114" s="97"/>
      <c r="I1114" s="98"/>
      <c r="J1114" s="99"/>
      <c r="K1114" s="99"/>
      <c r="L1114" s="46"/>
      <c r="M1114" s="6"/>
    </row>
    <row r="1115" spans="1:13">
      <c r="B1115" s="93"/>
      <c r="C1115" s="94"/>
      <c r="D1115" s="93"/>
      <c r="E1115" s="94"/>
      <c r="F1115" s="93"/>
      <c r="G1115" s="94"/>
      <c r="H1115" s="93"/>
      <c r="I1115" s="94"/>
      <c r="J1115" s="95"/>
      <c r="K1115" s="96"/>
      <c r="L1115" s="46"/>
      <c r="M1115" s="6"/>
    </row>
    <row r="1116" spans="1:13">
      <c r="M1116" s="6"/>
    </row>
    <row r="1121" spans="1:18">
      <c r="B1121" s="7" t="str">
        <f>kopsavilkums!$J$2</f>
        <v>Dizšvētku Zolītes finālturnīrs Valkā 2026 (RONDO)</v>
      </c>
    </row>
    <row r="1123" spans="1:18">
      <c r="G1123" s="41" t="s">
        <v>62</v>
      </c>
      <c r="H1123" s="43">
        <f>IF(kopsavilkums!$E$2="","",kopsavilkums!$E$2)</f>
        <v>8</v>
      </c>
    </row>
    <row r="1125" spans="1:18" ht="15.75">
      <c r="B1125" s="103" t="str">
        <f>IF(N1125="","",INDEX(kopsavilkums!$C$6:$C$125,N1125))</f>
        <v/>
      </c>
      <c r="C1125" s="104"/>
      <c r="D1125" s="103" t="str">
        <f>IF(O1125="","",INDEX(kopsavilkums!$C$6:$C$125,O1125))</f>
        <v/>
      </c>
      <c r="E1125" s="104"/>
      <c r="F1125" s="103" t="str">
        <f>IF(P1125="","",INDEX(kopsavilkums!$C$6:$C$125,P1125))</f>
        <v/>
      </c>
      <c r="G1125" s="104"/>
      <c r="H1125" s="103" t="str">
        <f>IF(Q1125="","",INDEX(kopsavilkums!$C$6:$C$125,Q1125))</f>
        <v/>
      </c>
      <c r="I1125" s="104"/>
      <c r="J1125" s="103" t="str">
        <f>IF(R1125="","",INDEX(kopsavilkums!$C$6:$C$125,R1125))</f>
        <v/>
      </c>
      <c r="K1125" s="104"/>
      <c r="N1125" t="str">
        <f>IF(1&gt;IF(28&lt;=(INT(kopsavilkums!$V$2/4)-MOD(kopsavilkums!$V$2,4)),4,IF(28&lt;=INT(kopsavilkums!$V$2/4),5,0)),"",IFERROR(MATCH((IF(28&lt;=(INT(kopsavilkums!$V$2/4)-MOD(kopsavilkums!$V$2,4)),(28-1)*4,(INT(kopsavilkums!$V$2/4)-MOD(kopsavilkums!$V$2,4))*4+(28-(INT(kopsavilkums!$V$2/4)-MOD(kopsavilkums!$V$2,4))-1)*5)+1),kopsavilkums!$X$6:$X$125,0),""))</f>
        <v/>
      </c>
      <c r="O1125" t="str">
        <f>IF(2&gt;IF(28&lt;=(INT(kopsavilkums!$V$2/4)-MOD(kopsavilkums!$V$2,4)),4,IF(28&lt;=INT(kopsavilkums!$V$2/4),5,0)),"",IFERROR(MATCH((IF(28&lt;=(INT(kopsavilkums!$V$2/4)-MOD(kopsavilkums!$V$2,4)),(28-1)*4,(INT(kopsavilkums!$V$2/4)-MOD(kopsavilkums!$V$2,4))*4+(28-(INT(kopsavilkums!$V$2/4)-MOD(kopsavilkums!$V$2,4))-1)*5)+2),kopsavilkums!$X$6:$X$125,0),""))</f>
        <v/>
      </c>
      <c r="P1125" t="str">
        <f>IF(3&gt;IF(28&lt;=(INT(kopsavilkums!$V$2/4)-MOD(kopsavilkums!$V$2,4)),4,IF(28&lt;=INT(kopsavilkums!$V$2/4),5,0)),"",IFERROR(MATCH((IF(28&lt;=(INT(kopsavilkums!$V$2/4)-MOD(kopsavilkums!$V$2,4)),(28-1)*4,(INT(kopsavilkums!$V$2/4)-MOD(kopsavilkums!$V$2,4))*4+(28-(INT(kopsavilkums!$V$2/4)-MOD(kopsavilkums!$V$2,4))-1)*5)+3),kopsavilkums!$X$6:$X$125,0),""))</f>
        <v/>
      </c>
      <c r="Q1125" t="str">
        <f>IF(4&gt;IF(28&lt;=(INT(kopsavilkums!$V$2/4)-MOD(kopsavilkums!$V$2,4)),4,IF(28&lt;=INT(kopsavilkums!$V$2/4),5,0)),"",IFERROR(MATCH((IF(28&lt;=(INT(kopsavilkums!$V$2/4)-MOD(kopsavilkums!$V$2,4)),(28-1)*4,(INT(kopsavilkums!$V$2/4)-MOD(kopsavilkums!$V$2,4))*4+(28-(INT(kopsavilkums!$V$2/4)-MOD(kopsavilkums!$V$2,4))-1)*5)+4),kopsavilkums!$X$6:$X$125,0),""))</f>
        <v/>
      </c>
      <c r="R1125" t="str">
        <f>IF(5&gt;IF(28&lt;=(INT(kopsavilkums!$V$2/4)-MOD(kopsavilkums!$V$2,4)),4,IF(28&lt;=INT(kopsavilkums!$V$2/4),5,0)),"",IFERROR(MATCH((IF(28&lt;=(INT(kopsavilkums!$V$2/4)-MOD(kopsavilkums!$V$2,4)),(28-1)*4,(INT(kopsavilkums!$V$2/4)-MOD(kopsavilkums!$V$2,4))*4+(28-(INT(kopsavilkums!$V$2/4)-MOD(kopsavilkums!$V$2,4))-1)*5)+5),kopsavilkums!$X$6:$X$125,0),""))</f>
        <v/>
      </c>
    </row>
    <row r="1126" spans="1:18" ht="15.75">
      <c r="A1126" s="4" t="s">
        <v>63</v>
      </c>
      <c r="B1126" s="105" t="str">
        <f>IF(B1125="","",28)</f>
        <v/>
      </c>
      <c r="C1126" s="105"/>
      <c r="D1126" s="105" t="str">
        <f>IF(D1125="","",28)</f>
        <v/>
      </c>
      <c r="E1126" s="105"/>
      <c r="F1126" s="105" t="str">
        <f>IF(F1125="","",28)</f>
        <v/>
      </c>
      <c r="G1126" s="105"/>
      <c r="H1126" s="105" t="str">
        <f>IF(H1125="","",28)</f>
        <v/>
      </c>
      <c r="I1126" s="105"/>
      <c r="J1126" s="105" t="str">
        <f>IF(J1125="","",28)</f>
        <v/>
      </c>
      <c r="K1126" s="105"/>
    </row>
    <row r="1127" spans="1:18" ht="15.75">
      <c r="A1127" s="5" t="s">
        <v>64</v>
      </c>
      <c r="B1127" s="8" t="str">
        <f>IF(N1125="","",INDEX(kopsavilkums!$T$6:$T$125,N1125))</f>
        <v/>
      </c>
      <c r="C1127" s="8" t="str">
        <f>IF(N1125="","",INDEX(kopsavilkums!$U$6:$U$125,N1125))</f>
        <v/>
      </c>
      <c r="D1127" s="8" t="str">
        <f>IF(O1125="","",INDEX(kopsavilkums!$T$6:$T$125,O1125))</f>
        <v/>
      </c>
      <c r="E1127" s="8" t="str">
        <f>IF(O1125="","",INDEX(kopsavilkums!$U$6:$U$125,O1125))</f>
        <v/>
      </c>
      <c r="F1127" s="8" t="str">
        <f>IF(P1125="","",INDEX(kopsavilkums!$T$6:$T$125,P1125))</f>
        <v/>
      </c>
      <c r="G1127" s="8" t="str">
        <f>IF(P1125="","",INDEX(kopsavilkums!$U$6:$U$125,P1125))</f>
        <v/>
      </c>
      <c r="H1127" s="8" t="str">
        <f>IF(Q1125="","",INDEX(kopsavilkums!$T$6:$T$125,Q1125))</f>
        <v/>
      </c>
      <c r="I1127" s="8" t="str">
        <f>IF(Q1125="","",INDEX(kopsavilkums!$U$6:$U$125,Q1125))</f>
        <v/>
      </c>
      <c r="J1127" s="8" t="str">
        <f>IF(R1125="","",INDEX(kopsavilkums!$T$6:$T$125,R1125))</f>
        <v/>
      </c>
      <c r="K1127" s="8" t="str">
        <f>IF(R1125="","",INDEX(kopsavilkums!$U$6:$U$125,R1125))</f>
        <v/>
      </c>
    </row>
    <row r="1128" spans="1:18">
      <c r="L1128" s="17" t="s">
        <v>66</v>
      </c>
      <c r="M1128" s="18"/>
    </row>
    <row r="1129" spans="1:18">
      <c r="M1129" s="2"/>
    </row>
    <row r="1130" spans="1:18" ht="18">
      <c r="A1130" s="3">
        <v>1</v>
      </c>
      <c r="B1130" s="102"/>
      <c r="C1130" s="102"/>
      <c r="D1130" s="102"/>
      <c r="E1130" s="102"/>
      <c r="F1130" s="102"/>
      <c r="G1130" s="102"/>
      <c r="H1130" s="102"/>
      <c r="I1130" s="102"/>
      <c r="J1130" s="99"/>
      <c r="K1130" s="99"/>
      <c r="L1130" s="46"/>
      <c r="M1130" s="6"/>
    </row>
    <row r="1131" spans="1:18" ht="18">
      <c r="A1131" s="3">
        <v>2</v>
      </c>
      <c r="B1131" s="102"/>
      <c r="C1131" s="102"/>
      <c r="D1131" s="102"/>
      <c r="E1131" s="102"/>
      <c r="F1131" s="102"/>
      <c r="G1131" s="102"/>
      <c r="H1131" s="102"/>
      <c r="I1131" s="102"/>
      <c r="J1131" s="99"/>
      <c r="K1131" s="99"/>
      <c r="L1131" s="46"/>
      <c r="M1131" s="6"/>
    </row>
    <row r="1132" spans="1:18" ht="18">
      <c r="A1132" s="3">
        <v>3</v>
      </c>
      <c r="B1132" s="102"/>
      <c r="C1132" s="102"/>
      <c r="D1132" s="102"/>
      <c r="E1132" s="102"/>
      <c r="F1132" s="102"/>
      <c r="G1132" s="102"/>
      <c r="H1132" s="102"/>
      <c r="I1132" s="102"/>
      <c r="J1132" s="99"/>
      <c r="K1132" s="99"/>
      <c r="L1132" s="46"/>
      <c r="M1132" s="6"/>
    </row>
    <row r="1133" spans="1:18" ht="18">
      <c r="A1133" s="3">
        <v>4</v>
      </c>
      <c r="B1133" s="102"/>
      <c r="C1133" s="102"/>
      <c r="D1133" s="102"/>
      <c r="E1133" s="102"/>
      <c r="F1133" s="102"/>
      <c r="G1133" s="102"/>
      <c r="H1133" s="102"/>
      <c r="I1133" s="102"/>
      <c r="J1133" s="99"/>
      <c r="K1133" s="99"/>
      <c r="L1133" s="46"/>
      <c r="M1133" s="6"/>
    </row>
    <row r="1134" spans="1:18" ht="18">
      <c r="A1134" s="3">
        <v>5</v>
      </c>
      <c r="B1134" s="102"/>
      <c r="C1134" s="102"/>
      <c r="D1134" s="102"/>
      <c r="E1134" s="102"/>
      <c r="F1134" s="102"/>
      <c r="G1134" s="102"/>
      <c r="H1134" s="102"/>
      <c r="I1134" s="102"/>
      <c r="J1134" s="99"/>
      <c r="K1134" s="99"/>
      <c r="L1134" s="46"/>
      <c r="M1134" s="6"/>
    </row>
    <row r="1135" spans="1:18" ht="18">
      <c r="A1135" s="3">
        <v>6</v>
      </c>
      <c r="B1135" s="102"/>
      <c r="C1135" s="102"/>
      <c r="D1135" s="102"/>
      <c r="E1135" s="102"/>
      <c r="F1135" s="102"/>
      <c r="G1135" s="102"/>
      <c r="H1135" s="102"/>
      <c r="I1135" s="102"/>
      <c r="J1135" s="99"/>
      <c r="K1135" s="99"/>
      <c r="L1135" s="46"/>
      <c r="M1135" s="6"/>
    </row>
    <row r="1136" spans="1:18" ht="18">
      <c r="A1136" s="3">
        <v>7</v>
      </c>
      <c r="B1136" s="102"/>
      <c r="C1136" s="102"/>
      <c r="D1136" s="102"/>
      <c r="E1136" s="102"/>
      <c r="F1136" s="102"/>
      <c r="G1136" s="102"/>
      <c r="H1136" s="102"/>
      <c r="I1136" s="102"/>
      <c r="J1136" s="99"/>
      <c r="K1136" s="99"/>
      <c r="L1136" s="46"/>
      <c r="M1136" s="6"/>
    </row>
    <row r="1137" spans="1:13" ht="18">
      <c r="A1137" s="3">
        <v>8</v>
      </c>
      <c r="B1137" s="102"/>
      <c r="C1137" s="102"/>
      <c r="D1137" s="102"/>
      <c r="E1137" s="102"/>
      <c r="F1137" s="102"/>
      <c r="G1137" s="102"/>
      <c r="H1137" s="102"/>
      <c r="I1137" s="102"/>
      <c r="J1137" s="99"/>
      <c r="K1137" s="99"/>
      <c r="L1137" s="46"/>
      <c r="M1137" s="6"/>
    </row>
    <row r="1138" spans="1:13" ht="18">
      <c r="A1138" s="3">
        <v>9</v>
      </c>
      <c r="B1138" s="102"/>
      <c r="C1138" s="102"/>
      <c r="D1138" s="102"/>
      <c r="E1138" s="102"/>
      <c r="F1138" s="102"/>
      <c r="G1138" s="102"/>
      <c r="H1138" s="102"/>
      <c r="I1138" s="102"/>
      <c r="J1138" s="99"/>
      <c r="K1138" s="99"/>
      <c r="L1138" s="46"/>
      <c r="M1138" s="6"/>
    </row>
    <row r="1139" spans="1:13" ht="18">
      <c r="A1139" s="3">
        <v>10</v>
      </c>
      <c r="B1139" s="102"/>
      <c r="C1139" s="102"/>
      <c r="D1139" s="102"/>
      <c r="E1139" s="102"/>
      <c r="F1139" s="102"/>
      <c r="G1139" s="102"/>
      <c r="H1139" s="102"/>
      <c r="I1139" s="102"/>
      <c r="J1139" s="99"/>
      <c r="K1139" s="99"/>
      <c r="L1139" s="46"/>
      <c r="M1139" s="6"/>
    </row>
    <row r="1140" spans="1:13" ht="18">
      <c r="A1140" s="3">
        <v>11</v>
      </c>
      <c r="B1140" s="102"/>
      <c r="C1140" s="102"/>
      <c r="D1140" s="102"/>
      <c r="E1140" s="102"/>
      <c r="F1140" s="102"/>
      <c r="G1140" s="102"/>
      <c r="H1140" s="102"/>
      <c r="I1140" s="102"/>
      <c r="J1140" s="99"/>
      <c r="K1140" s="99"/>
      <c r="L1140" s="46"/>
      <c r="M1140" s="6"/>
    </row>
    <row r="1141" spans="1:13" ht="18">
      <c r="A1141" s="3">
        <v>12</v>
      </c>
      <c r="B1141" s="102"/>
      <c r="C1141" s="102"/>
      <c r="D1141" s="102"/>
      <c r="E1141" s="102"/>
      <c r="F1141" s="102"/>
      <c r="G1141" s="102"/>
      <c r="H1141" s="102"/>
      <c r="I1141" s="102"/>
      <c r="J1141" s="99"/>
      <c r="K1141" s="99"/>
      <c r="L1141" s="46"/>
      <c r="M1141" s="6"/>
    </row>
    <row r="1142" spans="1:13" ht="18">
      <c r="A1142" s="3">
        <v>13</v>
      </c>
      <c r="B1142" s="102"/>
      <c r="C1142" s="102"/>
      <c r="D1142" s="102"/>
      <c r="E1142" s="102"/>
      <c r="F1142" s="102"/>
      <c r="G1142" s="102"/>
      <c r="H1142" s="102"/>
      <c r="I1142" s="102"/>
      <c r="J1142" s="99"/>
      <c r="K1142" s="99"/>
      <c r="L1142" s="46"/>
      <c r="M1142" s="6"/>
    </row>
    <row r="1143" spans="1:13" ht="18">
      <c r="A1143" s="3">
        <v>14</v>
      </c>
      <c r="B1143" s="102"/>
      <c r="C1143" s="102"/>
      <c r="D1143" s="102"/>
      <c r="E1143" s="102"/>
      <c r="F1143" s="102"/>
      <c r="G1143" s="102"/>
      <c r="H1143" s="102"/>
      <c r="I1143" s="102"/>
      <c r="J1143" s="99"/>
      <c r="K1143" s="99"/>
      <c r="L1143" s="46"/>
      <c r="M1143" s="6"/>
    </row>
    <row r="1144" spans="1:13" ht="18">
      <c r="A1144" s="3">
        <v>15</v>
      </c>
      <c r="B1144" s="102"/>
      <c r="C1144" s="102"/>
      <c r="D1144" s="102"/>
      <c r="E1144" s="102"/>
      <c r="F1144" s="102"/>
      <c r="G1144" s="102"/>
      <c r="H1144" s="102"/>
      <c r="I1144" s="102"/>
      <c r="J1144" s="99"/>
      <c r="K1144" s="99"/>
      <c r="L1144" s="46"/>
      <c r="M1144" s="6"/>
    </row>
    <row r="1145" spans="1:13" ht="18">
      <c r="A1145" s="3">
        <v>16</v>
      </c>
      <c r="B1145" s="102"/>
      <c r="C1145" s="102"/>
      <c r="D1145" s="102"/>
      <c r="E1145" s="102"/>
      <c r="F1145" s="102"/>
      <c r="G1145" s="102"/>
      <c r="H1145" s="102"/>
      <c r="I1145" s="102"/>
      <c r="J1145" s="99"/>
      <c r="K1145" s="99"/>
      <c r="L1145" s="46"/>
      <c r="M1145" s="6"/>
    </row>
    <row r="1146" spans="1:13" ht="18">
      <c r="A1146" s="3">
        <v>17</v>
      </c>
      <c r="B1146" s="102"/>
      <c r="C1146" s="102"/>
      <c r="D1146" s="102"/>
      <c r="E1146" s="102"/>
      <c r="F1146" s="102"/>
      <c r="G1146" s="102"/>
      <c r="H1146" s="102"/>
      <c r="I1146" s="102"/>
      <c r="J1146" s="99"/>
      <c r="K1146" s="99"/>
      <c r="L1146" s="46"/>
      <c r="M1146" s="6"/>
    </row>
    <row r="1147" spans="1:13" ht="18">
      <c r="A1147" s="3">
        <v>18</v>
      </c>
      <c r="B1147" s="102"/>
      <c r="C1147" s="102"/>
      <c r="D1147" s="102"/>
      <c r="E1147" s="102"/>
      <c r="F1147" s="102"/>
      <c r="G1147" s="102"/>
      <c r="H1147" s="102"/>
      <c r="I1147" s="102"/>
      <c r="J1147" s="99"/>
      <c r="K1147" s="99"/>
      <c r="L1147" s="46"/>
      <c r="M1147" s="6"/>
    </row>
    <row r="1148" spans="1:13" ht="18">
      <c r="A1148" s="3">
        <v>19</v>
      </c>
      <c r="B1148" s="102"/>
      <c r="C1148" s="102"/>
      <c r="D1148" s="102"/>
      <c r="E1148" s="102"/>
      <c r="F1148" s="102"/>
      <c r="G1148" s="102"/>
      <c r="H1148" s="102"/>
      <c r="I1148" s="102"/>
      <c r="J1148" s="99"/>
      <c r="K1148" s="99"/>
      <c r="L1148" s="46"/>
      <c r="M1148" s="6"/>
    </row>
    <row r="1149" spans="1:13" ht="18">
      <c r="A1149" s="3">
        <v>20</v>
      </c>
      <c r="B1149" s="102"/>
      <c r="C1149" s="102"/>
      <c r="D1149" s="102"/>
      <c r="E1149" s="102"/>
      <c r="F1149" s="102"/>
      <c r="G1149" s="102"/>
      <c r="H1149" s="102"/>
      <c r="I1149" s="102"/>
      <c r="J1149" s="99"/>
      <c r="K1149" s="99"/>
      <c r="L1149" s="46"/>
      <c r="M1149" s="6"/>
    </row>
    <row r="1150" spans="1:13" ht="18">
      <c r="A1150" s="3">
        <v>21</v>
      </c>
      <c r="B1150" s="102"/>
      <c r="C1150" s="102"/>
      <c r="D1150" s="102"/>
      <c r="E1150" s="102"/>
      <c r="F1150" s="102"/>
      <c r="G1150" s="102"/>
      <c r="H1150" s="102"/>
      <c r="I1150" s="102"/>
      <c r="J1150" s="99"/>
      <c r="K1150" s="99"/>
      <c r="L1150" s="46"/>
      <c r="M1150" s="6"/>
    </row>
    <row r="1151" spans="1:13" ht="18">
      <c r="A1151" s="3">
        <v>22</v>
      </c>
      <c r="B1151" s="102"/>
      <c r="C1151" s="102"/>
      <c r="D1151" s="102"/>
      <c r="E1151" s="102"/>
      <c r="F1151" s="102"/>
      <c r="G1151" s="102"/>
      <c r="H1151" s="102"/>
      <c r="I1151" s="102"/>
      <c r="J1151" s="99"/>
      <c r="K1151" s="99"/>
      <c r="L1151" s="46"/>
      <c r="M1151" s="6"/>
    </row>
    <row r="1152" spans="1:13" ht="18">
      <c r="A1152" s="3">
        <v>23</v>
      </c>
      <c r="B1152" s="102"/>
      <c r="C1152" s="102"/>
      <c r="D1152" s="102"/>
      <c r="E1152" s="102"/>
      <c r="F1152" s="102"/>
      <c r="G1152" s="102"/>
      <c r="H1152" s="102"/>
      <c r="I1152" s="102"/>
      <c r="J1152" s="99"/>
      <c r="K1152" s="99"/>
      <c r="L1152" s="46"/>
      <c r="M1152" s="6"/>
    </row>
    <row r="1153" spans="1:13" ht="18">
      <c r="A1153" s="3">
        <v>24</v>
      </c>
      <c r="B1153" s="102"/>
      <c r="C1153" s="102"/>
      <c r="D1153" s="102"/>
      <c r="E1153" s="102"/>
      <c r="F1153" s="102"/>
      <c r="G1153" s="102"/>
      <c r="H1153" s="102"/>
      <c r="I1153" s="102"/>
      <c r="J1153" s="99"/>
      <c r="K1153" s="99"/>
      <c r="L1153" s="46"/>
      <c r="M1153" s="6"/>
    </row>
    <row r="1154" spans="1:13" ht="18">
      <c r="A1154" s="3">
        <v>25</v>
      </c>
      <c r="B1154" s="102"/>
      <c r="C1154" s="102"/>
      <c r="D1154" s="102"/>
      <c r="E1154" s="102"/>
      <c r="F1154" s="102"/>
      <c r="G1154" s="102"/>
      <c r="H1154" s="102"/>
      <c r="I1154" s="102"/>
      <c r="J1154" s="99"/>
      <c r="K1154" s="99"/>
      <c r="L1154" s="46"/>
      <c r="M1154" s="6"/>
    </row>
    <row r="1155" spans="1:13" ht="18">
      <c r="A1155" s="3">
        <v>26</v>
      </c>
      <c r="B1155" s="102"/>
      <c r="C1155" s="102"/>
      <c r="D1155" s="102"/>
      <c r="E1155" s="102"/>
      <c r="F1155" s="102"/>
      <c r="G1155" s="102"/>
      <c r="H1155" s="102"/>
      <c r="I1155" s="102"/>
      <c r="J1155" s="99"/>
      <c r="K1155" s="99"/>
      <c r="L1155" s="46"/>
      <c r="M1155" s="6"/>
    </row>
    <row r="1156" spans="1:13" ht="18">
      <c r="A1156" s="3">
        <v>27</v>
      </c>
      <c r="B1156" s="102"/>
      <c r="C1156" s="102"/>
      <c r="D1156" s="102"/>
      <c r="E1156" s="102"/>
      <c r="F1156" s="102"/>
      <c r="G1156" s="102"/>
      <c r="H1156" s="102"/>
      <c r="I1156" s="102"/>
      <c r="J1156" s="99"/>
      <c r="K1156" s="99"/>
      <c r="L1156" s="46"/>
      <c r="M1156" s="6"/>
    </row>
    <row r="1157" spans="1:13" ht="18">
      <c r="A1157" s="3">
        <v>28</v>
      </c>
      <c r="B1157" s="102"/>
      <c r="C1157" s="102"/>
      <c r="D1157" s="102"/>
      <c r="E1157" s="102"/>
      <c r="F1157" s="102"/>
      <c r="G1157" s="102"/>
      <c r="H1157" s="102"/>
      <c r="I1157" s="102"/>
      <c r="J1157" s="99"/>
      <c r="K1157" s="99"/>
      <c r="L1157" s="46"/>
      <c r="M1157" s="6"/>
    </row>
    <row r="1158" spans="1:13">
      <c r="B1158" s="102"/>
      <c r="C1158" s="102"/>
      <c r="D1158" s="102"/>
      <c r="E1158" s="102"/>
      <c r="F1158" s="102"/>
      <c r="G1158" s="102"/>
      <c r="H1158" s="102"/>
      <c r="I1158" s="102"/>
      <c r="J1158" s="99"/>
      <c r="K1158" s="99"/>
      <c r="L1158" s="46"/>
      <c r="M1158" s="6"/>
    </row>
    <row r="1159" spans="1:13">
      <c r="B1159" s="97"/>
      <c r="C1159" s="98"/>
      <c r="D1159" s="97"/>
      <c r="E1159" s="98"/>
      <c r="F1159" s="97"/>
      <c r="G1159" s="98"/>
      <c r="H1159" s="97"/>
      <c r="I1159" s="98"/>
      <c r="J1159" s="99"/>
      <c r="K1159" s="99"/>
      <c r="L1159" s="46"/>
      <c r="M1159" s="6"/>
    </row>
    <row r="1160" spans="1:13">
      <c r="B1160" s="93"/>
      <c r="C1160" s="94"/>
      <c r="D1160" s="93"/>
      <c r="E1160" s="94"/>
      <c r="F1160" s="93"/>
      <c r="G1160" s="94"/>
      <c r="H1160" s="93"/>
      <c r="I1160" s="94"/>
      <c r="J1160" s="95"/>
      <c r="K1160" s="96"/>
      <c r="L1160" s="46"/>
      <c r="M1160" s="6"/>
    </row>
    <row r="1161" spans="1:13">
      <c r="M1161" s="6"/>
    </row>
    <row r="1166" spans="1:13">
      <c r="B1166" s="7" t="str">
        <f>kopsavilkums!$J$2</f>
        <v>Dizšvētku Zolītes finālturnīrs Valkā 2026 (RONDO)</v>
      </c>
    </row>
    <row r="1168" spans="1:13">
      <c r="G1168" s="41" t="s">
        <v>62</v>
      </c>
      <c r="H1168" s="43">
        <f>IF(kopsavilkums!$E$2="","",kopsavilkums!$E$2)</f>
        <v>8</v>
      </c>
    </row>
    <row r="1170" spans="1:18" ht="15.75">
      <c r="B1170" s="103" t="str">
        <f>IF(N1170="","",INDEX(kopsavilkums!$C$6:$C$125,N1170))</f>
        <v/>
      </c>
      <c r="C1170" s="104"/>
      <c r="D1170" s="103" t="str">
        <f>IF(O1170="","",INDEX(kopsavilkums!$C$6:$C$125,O1170))</f>
        <v/>
      </c>
      <c r="E1170" s="104"/>
      <c r="F1170" s="103" t="str">
        <f>IF(P1170="","",INDEX(kopsavilkums!$C$6:$C$125,P1170))</f>
        <v/>
      </c>
      <c r="G1170" s="104"/>
      <c r="H1170" s="103" t="str">
        <f>IF(Q1170="","",INDEX(kopsavilkums!$C$6:$C$125,Q1170))</f>
        <v/>
      </c>
      <c r="I1170" s="104"/>
      <c r="J1170" s="103" t="str">
        <f>IF(R1170="","",INDEX(kopsavilkums!$C$6:$C$125,R1170))</f>
        <v/>
      </c>
      <c r="K1170" s="104"/>
      <c r="N1170" t="str">
        <f>IF(1&gt;IF(29&lt;=(INT(kopsavilkums!$V$2/4)-MOD(kopsavilkums!$V$2,4)),4,IF(29&lt;=INT(kopsavilkums!$V$2/4),5,0)),"",IFERROR(MATCH((IF(29&lt;=(INT(kopsavilkums!$V$2/4)-MOD(kopsavilkums!$V$2,4)),(29-1)*4,(INT(kopsavilkums!$V$2/4)-MOD(kopsavilkums!$V$2,4))*4+(29-(INT(kopsavilkums!$V$2/4)-MOD(kopsavilkums!$V$2,4))-1)*5)+1),kopsavilkums!$X$6:$X$125,0),""))</f>
        <v/>
      </c>
      <c r="O1170" t="str">
        <f>IF(2&gt;IF(29&lt;=(INT(kopsavilkums!$V$2/4)-MOD(kopsavilkums!$V$2,4)),4,IF(29&lt;=INT(kopsavilkums!$V$2/4),5,0)),"",IFERROR(MATCH((IF(29&lt;=(INT(kopsavilkums!$V$2/4)-MOD(kopsavilkums!$V$2,4)),(29-1)*4,(INT(kopsavilkums!$V$2/4)-MOD(kopsavilkums!$V$2,4))*4+(29-(INT(kopsavilkums!$V$2/4)-MOD(kopsavilkums!$V$2,4))-1)*5)+2),kopsavilkums!$X$6:$X$125,0),""))</f>
        <v/>
      </c>
      <c r="P1170" t="str">
        <f>IF(3&gt;IF(29&lt;=(INT(kopsavilkums!$V$2/4)-MOD(kopsavilkums!$V$2,4)),4,IF(29&lt;=INT(kopsavilkums!$V$2/4),5,0)),"",IFERROR(MATCH((IF(29&lt;=(INT(kopsavilkums!$V$2/4)-MOD(kopsavilkums!$V$2,4)),(29-1)*4,(INT(kopsavilkums!$V$2/4)-MOD(kopsavilkums!$V$2,4))*4+(29-(INT(kopsavilkums!$V$2/4)-MOD(kopsavilkums!$V$2,4))-1)*5)+3),kopsavilkums!$X$6:$X$125,0),""))</f>
        <v/>
      </c>
      <c r="Q1170" t="str">
        <f>IF(4&gt;IF(29&lt;=(INT(kopsavilkums!$V$2/4)-MOD(kopsavilkums!$V$2,4)),4,IF(29&lt;=INT(kopsavilkums!$V$2/4),5,0)),"",IFERROR(MATCH((IF(29&lt;=(INT(kopsavilkums!$V$2/4)-MOD(kopsavilkums!$V$2,4)),(29-1)*4,(INT(kopsavilkums!$V$2/4)-MOD(kopsavilkums!$V$2,4))*4+(29-(INT(kopsavilkums!$V$2/4)-MOD(kopsavilkums!$V$2,4))-1)*5)+4),kopsavilkums!$X$6:$X$125,0),""))</f>
        <v/>
      </c>
      <c r="R1170" t="str">
        <f>IF(5&gt;IF(29&lt;=(INT(kopsavilkums!$V$2/4)-MOD(kopsavilkums!$V$2,4)),4,IF(29&lt;=INT(kopsavilkums!$V$2/4),5,0)),"",IFERROR(MATCH((IF(29&lt;=(INT(kopsavilkums!$V$2/4)-MOD(kopsavilkums!$V$2,4)),(29-1)*4,(INT(kopsavilkums!$V$2/4)-MOD(kopsavilkums!$V$2,4))*4+(29-(INT(kopsavilkums!$V$2/4)-MOD(kopsavilkums!$V$2,4))-1)*5)+5),kopsavilkums!$X$6:$X$125,0),""))</f>
        <v/>
      </c>
    </row>
    <row r="1171" spans="1:18" ht="15.75">
      <c r="A1171" s="4" t="s">
        <v>63</v>
      </c>
      <c r="B1171" s="105" t="str">
        <f>IF(B1170="","",29)</f>
        <v/>
      </c>
      <c r="C1171" s="105"/>
      <c r="D1171" s="105" t="str">
        <f>IF(D1170="","",29)</f>
        <v/>
      </c>
      <c r="E1171" s="105"/>
      <c r="F1171" s="105" t="str">
        <f>IF(F1170="","",29)</f>
        <v/>
      </c>
      <c r="G1171" s="105"/>
      <c r="H1171" s="105" t="str">
        <f>IF(H1170="","",29)</f>
        <v/>
      </c>
      <c r="I1171" s="105"/>
      <c r="J1171" s="105" t="str">
        <f>IF(J1170="","",29)</f>
        <v/>
      </c>
      <c r="K1171" s="105"/>
    </row>
    <row r="1172" spans="1:18" ht="15.75">
      <c r="A1172" s="5" t="s">
        <v>64</v>
      </c>
      <c r="B1172" s="8" t="str">
        <f>IF(N1170="","",INDEX(kopsavilkums!$T$6:$T$125,N1170))</f>
        <v/>
      </c>
      <c r="C1172" s="8" t="str">
        <f>IF(N1170="","",INDEX(kopsavilkums!$U$6:$U$125,N1170))</f>
        <v/>
      </c>
      <c r="D1172" s="8" t="str">
        <f>IF(O1170="","",INDEX(kopsavilkums!$T$6:$T$125,O1170))</f>
        <v/>
      </c>
      <c r="E1172" s="8" t="str">
        <f>IF(O1170="","",INDEX(kopsavilkums!$U$6:$U$125,O1170))</f>
        <v/>
      </c>
      <c r="F1172" s="8" t="str">
        <f>IF(P1170="","",INDEX(kopsavilkums!$T$6:$T$125,P1170))</f>
        <v/>
      </c>
      <c r="G1172" s="8" t="str">
        <f>IF(P1170="","",INDEX(kopsavilkums!$U$6:$U$125,P1170))</f>
        <v/>
      </c>
      <c r="H1172" s="8" t="str">
        <f>IF(Q1170="","",INDEX(kopsavilkums!$T$6:$T$125,Q1170))</f>
        <v/>
      </c>
      <c r="I1172" s="8" t="str">
        <f>IF(Q1170="","",INDEX(kopsavilkums!$U$6:$U$125,Q1170))</f>
        <v/>
      </c>
      <c r="J1172" s="8" t="str">
        <f>IF(R1170="","",INDEX(kopsavilkums!$T$6:$T$125,R1170))</f>
        <v/>
      </c>
      <c r="K1172" s="8" t="str">
        <f>IF(R1170="","",INDEX(kopsavilkums!$U$6:$U$125,R1170))</f>
        <v/>
      </c>
    </row>
    <row r="1173" spans="1:18">
      <c r="L1173" s="17" t="s">
        <v>66</v>
      </c>
      <c r="M1173" s="18"/>
    </row>
    <row r="1174" spans="1:18">
      <c r="M1174" s="2"/>
    </row>
    <row r="1175" spans="1:18" ht="18">
      <c r="A1175" s="3">
        <v>1</v>
      </c>
      <c r="B1175" s="102"/>
      <c r="C1175" s="102"/>
      <c r="D1175" s="102"/>
      <c r="E1175" s="102"/>
      <c r="F1175" s="102"/>
      <c r="G1175" s="102"/>
      <c r="H1175" s="102"/>
      <c r="I1175" s="102"/>
      <c r="J1175" s="99"/>
      <c r="K1175" s="99"/>
      <c r="L1175" s="46"/>
      <c r="M1175" s="6"/>
    </row>
    <row r="1176" spans="1:18" ht="18">
      <c r="A1176" s="3">
        <v>2</v>
      </c>
      <c r="B1176" s="102"/>
      <c r="C1176" s="102"/>
      <c r="D1176" s="102"/>
      <c r="E1176" s="102"/>
      <c r="F1176" s="102"/>
      <c r="G1176" s="102"/>
      <c r="H1176" s="102"/>
      <c r="I1176" s="102"/>
      <c r="J1176" s="99"/>
      <c r="K1176" s="99"/>
      <c r="L1176" s="46"/>
      <c r="M1176" s="6"/>
    </row>
    <row r="1177" spans="1:18" ht="18">
      <c r="A1177" s="3">
        <v>3</v>
      </c>
      <c r="B1177" s="102"/>
      <c r="C1177" s="102"/>
      <c r="D1177" s="102"/>
      <c r="E1177" s="102"/>
      <c r="F1177" s="102"/>
      <c r="G1177" s="102"/>
      <c r="H1177" s="102"/>
      <c r="I1177" s="102"/>
      <c r="J1177" s="99"/>
      <c r="K1177" s="99"/>
      <c r="L1177" s="46"/>
      <c r="M1177" s="6"/>
    </row>
    <row r="1178" spans="1:18" ht="18">
      <c r="A1178" s="3">
        <v>4</v>
      </c>
      <c r="B1178" s="102"/>
      <c r="C1178" s="102"/>
      <c r="D1178" s="102"/>
      <c r="E1178" s="102"/>
      <c r="F1178" s="102"/>
      <c r="G1178" s="102"/>
      <c r="H1178" s="102"/>
      <c r="I1178" s="102"/>
      <c r="J1178" s="99"/>
      <c r="K1178" s="99"/>
      <c r="L1178" s="46"/>
      <c r="M1178" s="6"/>
    </row>
    <row r="1179" spans="1:18" ht="18">
      <c r="A1179" s="3">
        <v>5</v>
      </c>
      <c r="B1179" s="102"/>
      <c r="C1179" s="102"/>
      <c r="D1179" s="102"/>
      <c r="E1179" s="102"/>
      <c r="F1179" s="102"/>
      <c r="G1179" s="102"/>
      <c r="H1179" s="102"/>
      <c r="I1179" s="102"/>
      <c r="J1179" s="99"/>
      <c r="K1179" s="99"/>
      <c r="L1179" s="46"/>
      <c r="M1179" s="6"/>
    </row>
    <row r="1180" spans="1:18" ht="18">
      <c r="A1180" s="3">
        <v>6</v>
      </c>
      <c r="B1180" s="102"/>
      <c r="C1180" s="102"/>
      <c r="D1180" s="102"/>
      <c r="E1180" s="102"/>
      <c r="F1180" s="102"/>
      <c r="G1180" s="102"/>
      <c r="H1180" s="102"/>
      <c r="I1180" s="102"/>
      <c r="J1180" s="99"/>
      <c r="K1180" s="99"/>
      <c r="L1180" s="46"/>
      <c r="M1180" s="6"/>
    </row>
    <row r="1181" spans="1:18" ht="18">
      <c r="A1181" s="3">
        <v>7</v>
      </c>
      <c r="B1181" s="102"/>
      <c r="C1181" s="102"/>
      <c r="D1181" s="102"/>
      <c r="E1181" s="102"/>
      <c r="F1181" s="102"/>
      <c r="G1181" s="102"/>
      <c r="H1181" s="102"/>
      <c r="I1181" s="102"/>
      <c r="J1181" s="99"/>
      <c r="K1181" s="99"/>
      <c r="L1181" s="46"/>
      <c r="M1181" s="6"/>
    </row>
    <row r="1182" spans="1:18" ht="18">
      <c r="A1182" s="3">
        <v>8</v>
      </c>
      <c r="B1182" s="102"/>
      <c r="C1182" s="102"/>
      <c r="D1182" s="102"/>
      <c r="E1182" s="102"/>
      <c r="F1182" s="102"/>
      <c r="G1182" s="102"/>
      <c r="H1182" s="102"/>
      <c r="I1182" s="102"/>
      <c r="J1182" s="99"/>
      <c r="K1182" s="99"/>
      <c r="L1182" s="46"/>
      <c r="M1182" s="6"/>
    </row>
    <row r="1183" spans="1:18" ht="18">
      <c r="A1183" s="3">
        <v>9</v>
      </c>
      <c r="B1183" s="102"/>
      <c r="C1183" s="102"/>
      <c r="D1183" s="102"/>
      <c r="E1183" s="102"/>
      <c r="F1183" s="102"/>
      <c r="G1183" s="102"/>
      <c r="H1183" s="102"/>
      <c r="I1183" s="102"/>
      <c r="J1183" s="99"/>
      <c r="K1183" s="99"/>
      <c r="L1183" s="46"/>
      <c r="M1183" s="6"/>
    </row>
    <row r="1184" spans="1:18" ht="18">
      <c r="A1184" s="3">
        <v>10</v>
      </c>
      <c r="B1184" s="102"/>
      <c r="C1184" s="102"/>
      <c r="D1184" s="102"/>
      <c r="E1184" s="102"/>
      <c r="F1184" s="102"/>
      <c r="G1184" s="102"/>
      <c r="H1184" s="102"/>
      <c r="I1184" s="102"/>
      <c r="J1184" s="99"/>
      <c r="K1184" s="99"/>
      <c r="L1184" s="46"/>
      <c r="M1184" s="6"/>
    </row>
    <row r="1185" spans="1:13" ht="18">
      <c r="A1185" s="3">
        <v>11</v>
      </c>
      <c r="B1185" s="102"/>
      <c r="C1185" s="102"/>
      <c r="D1185" s="102"/>
      <c r="E1185" s="102"/>
      <c r="F1185" s="102"/>
      <c r="G1185" s="102"/>
      <c r="H1185" s="102"/>
      <c r="I1185" s="102"/>
      <c r="J1185" s="99"/>
      <c r="K1185" s="99"/>
      <c r="L1185" s="46"/>
      <c r="M1185" s="6"/>
    </row>
    <row r="1186" spans="1:13" ht="18">
      <c r="A1186" s="3">
        <v>12</v>
      </c>
      <c r="B1186" s="102"/>
      <c r="C1186" s="102"/>
      <c r="D1186" s="102"/>
      <c r="E1186" s="102"/>
      <c r="F1186" s="102"/>
      <c r="G1186" s="102"/>
      <c r="H1186" s="102"/>
      <c r="I1186" s="102"/>
      <c r="J1186" s="99"/>
      <c r="K1186" s="99"/>
      <c r="L1186" s="46"/>
      <c r="M1186" s="6"/>
    </row>
    <row r="1187" spans="1:13" ht="18">
      <c r="A1187" s="3">
        <v>13</v>
      </c>
      <c r="B1187" s="102"/>
      <c r="C1187" s="102"/>
      <c r="D1187" s="102"/>
      <c r="E1187" s="102"/>
      <c r="F1187" s="102"/>
      <c r="G1187" s="102"/>
      <c r="H1187" s="102"/>
      <c r="I1187" s="102"/>
      <c r="J1187" s="99"/>
      <c r="K1187" s="99"/>
      <c r="L1187" s="46"/>
      <c r="M1187" s="6"/>
    </row>
    <row r="1188" spans="1:13" ht="18">
      <c r="A1188" s="3">
        <v>14</v>
      </c>
      <c r="B1188" s="102"/>
      <c r="C1188" s="102"/>
      <c r="D1188" s="102"/>
      <c r="E1188" s="102"/>
      <c r="F1188" s="102"/>
      <c r="G1188" s="102"/>
      <c r="H1188" s="102"/>
      <c r="I1188" s="102"/>
      <c r="J1188" s="99"/>
      <c r="K1188" s="99"/>
      <c r="L1188" s="46"/>
      <c r="M1188" s="6"/>
    </row>
    <row r="1189" spans="1:13" ht="18">
      <c r="A1189" s="3">
        <v>15</v>
      </c>
      <c r="B1189" s="102"/>
      <c r="C1189" s="102"/>
      <c r="D1189" s="102"/>
      <c r="E1189" s="102"/>
      <c r="F1189" s="102"/>
      <c r="G1189" s="102"/>
      <c r="H1189" s="102"/>
      <c r="I1189" s="102"/>
      <c r="J1189" s="99"/>
      <c r="K1189" s="99"/>
      <c r="L1189" s="46"/>
      <c r="M1189" s="6"/>
    </row>
    <row r="1190" spans="1:13" ht="18">
      <c r="A1190" s="3">
        <v>16</v>
      </c>
      <c r="B1190" s="102"/>
      <c r="C1190" s="102"/>
      <c r="D1190" s="102"/>
      <c r="E1190" s="102"/>
      <c r="F1190" s="102"/>
      <c r="G1190" s="102"/>
      <c r="H1190" s="102"/>
      <c r="I1190" s="102"/>
      <c r="J1190" s="99"/>
      <c r="K1190" s="99"/>
      <c r="L1190" s="46"/>
      <c r="M1190" s="6"/>
    </row>
    <row r="1191" spans="1:13" ht="18">
      <c r="A1191" s="3">
        <v>17</v>
      </c>
      <c r="B1191" s="102"/>
      <c r="C1191" s="102"/>
      <c r="D1191" s="102"/>
      <c r="E1191" s="102"/>
      <c r="F1191" s="102"/>
      <c r="G1191" s="102"/>
      <c r="H1191" s="102"/>
      <c r="I1191" s="102"/>
      <c r="J1191" s="99"/>
      <c r="K1191" s="99"/>
      <c r="L1191" s="46"/>
      <c r="M1191" s="6"/>
    </row>
    <row r="1192" spans="1:13" ht="18">
      <c r="A1192" s="3">
        <v>18</v>
      </c>
      <c r="B1192" s="102"/>
      <c r="C1192" s="102"/>
      <c r="D1192" s="102"/>
      <c r="E1192" s="102"/>
      <c r="F1192" s="102"/>
      <c r="G1192" s="102"/>
      <c r="H1192" s="102"/>
      <c r="I1192" s="102"/>
      <c r="J1192" s="99"/>
      <c r="K1192" s="99"/>
      <c r="L1192" s="46"/>
      <c r="M1192" s="6"/>
    </row>
    <row r="1193" spans="1:13" ht="18">
      <c r="A1193" s="3">
        <v>19</v>
      </c>
      <c r="B1193" s="102"/>
      <c r="C1193" s="102"/>
      <c r="D1193" s="102"/>
      <c r="E1193" s="102"/>
      <c r="F1193" s="102"/>
      <c r="G1193" s="102"/>
      <c r="H1193" s="102"/>
      <c r="I1193" s="102"/>
      <c r="J1193" s="99"/>
      <c r="K1193" s="99"/>
      <c r="L1193" s="46"/>
      <c r="M1193" s="6"/>
    </row>
    <row r="1194" spans="1:13" ht="18">
      <c r="A1194" s="3">
        <v>20</v>
      </c>
      <c r="B1194" s="102"/>
      <c r="C1194" s="102"/>
      <c r="D1194" s="102"/>
      <c r="E1194" s="102"/>
      <c r="F1194" s="102"/>
      <c r="G1194" s="102"/>
      <c r="H1194" s="102"/>
      <c r="I1194" s="102"/>
      <c r="J1194" s="99"/>
      <c r="K1194" s="99"/>
      <c r="L1194" s="46"/>
      <c r="M1194" s="6"/>
    </row>
    <row r="1195" spans="1:13" ht="18">
      <c r="A1195" s="3">
        <v>21</v>
      </c>
      <c r="B1195" s="102"/>
      <c r="C1195" s="102"/>
      <c r="D1195" s="102"/>
      <c r="E1195" s="102"/>
      <c r="F1195" s="102"/>
      <c r="G1195" s="102"/>
      <c r="H1195" s="102"/>
      <c r="I1195" s="102"/>
      <c r="J1195" s="99"/>
      <c r="K1195" s="99"/>
      <c r="L1195" s="46"/>
      <c r="M1195" s="6"/>
    </row>
    <row r="1196" spans="1:13" ht="18">
      <c r="A1196" s="3">
        <v>22</v>
      </c>
      <c r="B1196" s="102"/>
      <c r="C1196" s="102"/>
      <c r="D1196" s="102"/>
      <c r="E1196" s="102"/>
      <c r="F1196" s="102"/>
      <c r="G1196" s="102"/>
      <c r="H1196" s="102"/>
      <c r="I1196" s="102"/>
      <c r="J1196" s="99"/>
      <c r="K1196" s="99"/>
      <c r="L1196" s="46"/>
      <c r="M1196" s="6"/>
    </row>
    <row r="1197" spans="1:13" ht="18">
      <c r="A1197" s="3">
        <v>23</v>
      </c>
      <c r="B1197" s="102"/>
      <c r="C1197" s="102"/>
      <c r="D1197" s="102"/>
      <c r="E1197" s="102"/>
      <c r="F1197" s="102"/>
      <c r="G1197" s="102"/>
      <c r="H1197" s="102"/>
      <c r="I1197" s="102"/>
      <c r="J1197" s="99"/>
      <c r="K1197" s="99"/>
      <c r="L1197" s="46"/>
      <c r="M1197" s="6"/>
    </row>
    <row r="1198" spans="1:13" ht="18">
      <c r="A1198" s="3">
        <v>24</v>
      </c>
      <c r="B1198" s="102"/>
      <c r="C1198" s="102"/>
      <c r="D1198" s="102"/>
      <c r="E1198" s="102"/>
      <c r="F1198" s="102"/>
      <c r="G1198" s="102"/>
      <c r="H1198" s="102"/>
      <c r="I1198" s="102"/>
      <c r="J1198" s="99"/>
      <c r="K1198" s="99"/>
      <c r="L1198" s="46"/>
      <c r="M1198" s="6"/>
    </row>
    <row r="1199" spans="1:13" ht="18">
      <c r="A1199" s="3">
        <v>25</v>
      </c>
      <c r="B1199" s="102"/>
      <c r="C1199" s="102"/>
      <c r="D1199" s="102"/>
      <c r="E1199" s="102"/>
      <c r="F1199" s="102"/>
      <c r="G1199" s="102"/>
      <c r="H1199" s="102"/>
      <c r="I1199" s="102"/>
      <c r="J1199" s="99"/>
      <c r="K1199" s="99"/>
      <c r="L1199" s="46"/>
      <c r="M1199" s="6"/>
    </row>
    <row r="1200" spans="1:13" ht="18">
      <c r="A1200" s="3">
        <v>26</v>
      </c>
      <c r="B1200" s="102"/>
      <c r="C1200" s="102"/>
      <c r="D1200" s="102"/>
      <c r="E1200" s="102"/>
      <c r="F1200" s="102"/>
      <c r="G1200" s="102"/>
      <c r="H1200" s="102"/>
      <c r="I1200" s="102"/>
      <c r="J1200" s="99"/>
      <c r="K1200" s="99"/>
      <c r="L1200" s="46"/>
      <c r="M1200" s="6"/>
    </row>
    <row r="1201" spans="1:18" ht="18">
      <c r="A1201" s="3">
        <v>27</v>
      </c>
      <c r="B1201" s="102"/>
      <c r="C1201" s="102"/>
      <c r="D1201" s="102"/>
      <c r="E1201" s="102"/>
      <c r="F1201" s="102"/>
      <c r="G1201" s="102"/>
      <c r="H1201" s="102"/>
      <c r="I1201" s="102"/>
      <c r="J1201" s="99"/>
      <c r="K1201" s="99"/>
      <c r="L1201" s="46"/>
      <c r="M1201" s="6"/>
    </row>
    <row r="1202" spans="1:18" ht="18">
      <c r="A1202" s="3">
        <v>28</v>
      </c>
      <c r="B1202" s="102"/>
      <c r="C1202" s="102"/>
      <c r="D1202" s="102"/>
      <c r="E1202" s="102"/>
      <c r="F1202" s="102"/>
      <c r="G1202" s="102"/>
      <c r="H1202" s="102"/>
      <c r="I1202" s="102"/>
      <c r="J1202" s="99"/>
      <c r="K1202" s="99"/>
      <c r="L1202" s="46"/>
      <c r="M1202" s="6"/>
    </row>
    <row r="1203" spans="1:18">
      <c r="B1203" s="102"/>
      <c r="C1203" s="102"/>
      <c r="D1203" s="102"/>
      <c r="E1203" s="102"/>
      <c r="F1203" s="102"/>
      <c r="G1203" s="102"/>
      <c r="H1203" s="102"/>
      <c r="I1203" s="102"/>
      <c r="J1203" s="99"/>
      <c r="K1203" s="99"/>
      <c r="L1203" s="46"/>
      <c r="M1203" s="6"/>
    </row>
    <row r="1204" spans="1:18">
      <c r="B1204" s="97"/>
      <c r="C1204" s="98"/>
      <c r="D1204" s="97"/>
      <c r="E1204" s="98"/>
      <c r="F1204" s="97"/>
      <c r="G1204" s="98"/>
      <c r="H1204" s="97"/>
      <c r="I1204" s="98"/>
      <c r="J1204" s="99"/>
      <c r="K1204" s="99"/>
      <c r="L1204" s="46"/>
      <c r="M1204" s="6"/>
    </row>
    <row r="1205" spans="1:18">
      <c r="B1205" s="93"/>
      <c r="C1205" s="94"/>
      <c r="D1205" s="93"/>
      <c r="E1205" s="94"/>
      <c r="F1205" s="93"/>
      <c r="G1205" s="94"/>
      <c r="H1205" s="93"/>
      <c r="I1205" s="94"/>
      <c r="J1205" s="95"/>
      <c r="K1205" s="96"/>
      <c r="L1205" s="46"/>
      <c r="M1205" s="6"/>
    </row>
    <row r="1206" spans="1:18">
      <c r="M1206" s="6"/>
    </row>
    <row r="1211" spans="1:18">
      <c r="B1211" s="7" t="str">
        <f>kopsavilkums!$J$2</f>
        <v>Dizšvētku Zolītes finālturnīrs Valkā 2026 (RONDO)</v>
      </c>
    </row>
    <row r="1213" spans="1:18">
      <c r="G1213" s="41" t="s">
        <v>62</v>
      </c>
      <c r="H1213" s="43">
        <f>IF(kopsavilkums!$E$2="","",kopsavilkums!$E$2)</f>
        <v>8</v>
      </c>
    </row>
    <row r="1215" spans="1:18" ht="15.75">
      <c r="B1215" s="103" t="str">
        <f>IF(N1215="","",INDEX(kopsavilkums!$C$6:$C$125,N1215))</f>
        <v/>
      </c>
      <c r="C1215" s="104"/>
      <c r="D1215" s="103" t="str">
        <f>IF(O1215="","",INDEX(kopsavilkums!$C$6:$C$125,O1215))</f>
        <v/>
      </c>
      <c r="E1215" s="104"/>
      <c r="F1215" s="103" t="str">
        <f>IF(P1215="","",INDEX(kopsavilkums!$C$6:$C$125,P1215))</f>
        <v/>
      </c>
      <c r="G1215" s="104"/>
      <c r="H1215" s="103" t="str">
        <f>IF(Q1215="","",INDEX(kopsavilkums!$C$6:$C$125,Q1215))</f>
        <v/>
      </c>
      <c r="I1215" s="104"/>
      <c r="J1215" s="103" t="str">
        <f>IF(R1215="","",INDEX(kopsavilkums!$C$6:$C$125,R1215))</f>
        <v/>
      </c>
      <c r="K1215" s="104"/>
      <c r="N1215" t="str">
        <f>IF(1&gt;IF(30&lt;=(INT(kopsavilkums!$V$2/4)-MOD(kopsavilkums!$V$2,4)),4,IF(30&lt;=INT(kopsavilkums!$V$2/4),5,0)),"",IFERROR(MATCH((IF(30&lt;=(INT(kopsavilkums!$V$2/4)-MOD(kopsavilkums!$V$2,4)),(30-1)*4,(INT(kopsavilkums!$V$2/4)-MOD(kopsavilkums!$V$2,4))*4+(30-(INT(kopsavilkums!$V$2/4)-MOD(kopsavilkums!$V$2,4))-1)*5)+1),kopsavilkums!$X$6:$X$125,0),""))</f>
        <v/>
      </c>
      <c r="O1215" t="str">
        <f>IF(2&gt;IF(30&lt;=(INT(kopsavilkums!$V$2/4)-MOD(kopsavilkums!$V$2,4)),4,IF(30&lt;=INT(kopsavilkums!$V$2/4),5,0)),"",IFERROR(MATCH((IF(30&lt;=(INT(kopsavilkums!$V$2/4)-MOD(kopsavilkums!$V$2,4)),(30-1)*4,(INT(kopsavilkums!$V$2/4)-MOD(kopsavilkums!$V$2,4))*4+(30-(INT(kopsavilkums!$V$2/4)-MOD(kopsavilkums!$V$2,4))-1)*5)+2),kopsavilkums!$X$6:$X$125,0),""))</f>
        <v/>
      </c>
      <c r="P1215" t="str">
        <f>IF(3&gt;IF(30&lt;=(INT(kopsavilkums!$V$2/4)-MOD(kopsavilkums!$V$2,4)),4,IF(30&lt;=INT(kopsavilkums!$V$2/4),5,0)),"",IFERROR(MATCH((IF(30&lt;=(INT(kopsavilkums!$V$2/4)-MOD(kopsavilkums!$V$2,4)),(30-1)*4,(INT(kopsavilkums!$V$2/4)-MOD(kopsavilkums!$V$2,4))*4+(30-(INT(kopsavilkums!$V$2/4)-MOD(kopsavilkums!$V$2,4))-1)*5)+3),kopsavilkums!$X$6:$X$125,0),""))</f>
        <v/>
      </c>
      <c r="Q1215" t="str">
        <f>IF(4&gt;IF(30&lt;=(INT(kopsavilkums!$V$2/4)-MOD(kopsavilkums!$V$2,4)),4,IF(30&lt;=INT(kopsavilkums!$V$2/4),5,0)),"",IFERROR(MATCH((IF(30&lt;=(INT(kopsavilkums!$V$2/4)-MOD(kopsavilkums!$V$2,4)),(30-1)*4,(INT(kopsavilkums!$V$2/4)-MOD(kopsavilkums!$V$2,4))*4+(30-(INT(kopsavilkums!$V$2/4)-MOD(kopsavilkums!$V$2,4))-1)*5)+4),kopsavilkums!$X$6:$X$125,0),""))</f>
        <v/>
      </c>
      <c r="R1215" t="str">
        <f>IF(5&gt;IF(30&lt;=(INT(kopsavilkums!$V$2/4)-MOD(kopsavilkums!$V$2,4)),4,IF(30&lt;=INT(kopsavilkums!$V$2/4),5,0)),"",IFERROR(MATCH((IF(30&lt;=(INT(kopsavilkums!$V$2/4)-MOD(kopsavilkums!$V$2,4)),(30-1)*4,(INT(kopsavilkums!$V$2/4)-MOD(kopsavilkums!$V$2,4))*4+(30-(INT(kopsavilkums!$V$2/4)-MOD(kopsavilkums!$V$2,4))-1)*5)+5),kopsavilkums!$X$6:$X$125,0),""))</f>
        <v/>
      </c>
    </row>
    <row r="1216" spans="1:18" ht="15.75">
      <c r="A1216" s="4" t="s">
        <v>63</v>
      </c>
      <c r="B1216" s="105" t="str">
        <f>IF(B1215="","",30)</f>
        <v/>
      </c>
      <c r="C1216" s="105"/>
      <c r="D1216" s="105" t="str">
        <f>IF(D1215="","",30)</f>
        <v/>
      </c>
      <c r="E1216" s="105"/>
      <c r="F1216" s="105" t="str">
        <f>IF(F1215="","",30)</f>
        <v/>
      </c>
      <c r="G1216" s="105"/>
      <c r="H1216" s="105" t="str">
        <f>IF(H1215="","",30)</f>
        <v/>
      </c>
      <c r="I1216" s="105"/>
      <c r="J1216" s="105" t="str">
        <f>IF(J1215="","",30)</f>
        <v/>
      </c>
      <c r="K1216" s="105"/>
    </row>
    <row r="1217" spans="1:13" ht="15.75">
      <c r="A1217" s="5" t="s">
        <v>64</v>
      </c>
      <c r="B1217" s="8" t="str">
        <f>IF(N1215="","",INDEX(kopsavilkums!$T$6:$T$125,N1215))</f>
        <v/>
      </c>
      <c r="C1217" s="8" t="str">
        <f>IF(N1215="","",INDEX(kopsavilkums!$U$6:$U$125,N1215))</f>
        <v/>
      </c>
      <c r="D1217" s="8" t="str">
        <f>IF(O1215="","",INDEX(kopsavilkums!$T$6:$T$125,O1215))</f>
        <v/>
      </c>
      <c r="E1217" s="8" t="str">
        <f>IF(O1215="","",INDEX(kopsavilkums!$U$6:$U$125,O1215))</f>
        <v/>
      </c>
      <c r="F1217" s="8" t="str">
        <f>IF(P1215="","",INDEX(kopsavilkums!$T$6:$T$125,P1215))</f>
        <v/>
      </c>
      <c r="G1217" s="8" t="str">
        <f>IF(P1215="","",INDEX(kopsavilkums!$U$6:$U$125,P1215))</f>
        <v/>
      </c>
      <c r="H1217" s="8" t="str">
        <f>IF(Q1215="","",INDEX(kopsavilkums!$T$6:$T$125,Q1215))</f>
        <v/>
      </c>
      <c r="I1217" s="8" t="str">
        <f>IF(Q1215="","",INDEX(kopsavilkums!$U$6:$U$125,Q1215))</f>
        <v/>
      </c>
      <c r="J1217" s="8" t="str">
        <f>IF(R1215="","",INDEX(kopsavilkums!$T$6:$T$125,R1215))</f>
        <v/>
      </c>
      <c r="K1217" s="8" t="str">
        <f>IF(R1215="","",INDEX(kopsavilkums!$U$6:$U$125,R1215))</f>
        <v/>
      </c>
    </row>
    <row r="1218" spans="1:13">
      <c r="L1218" s="17" t="s">
        <v>66</v>
      </c>
      <c r="M1218" s="18"/>
    </row>
    <row r="1219" spans="1:13">
      <c r="M1219" s="2"/>
    </row>
    <row r="1220" spans="1:13" ht="18">
      <c r="A1220" s="3">
        <v>1</v>
      </c>
      <c r="B1220" s="102"/>
      <c r="C1220" s="102"/>
      <c r="D1220" s="102"/>
      <c r="E1220" s="102"/>
      <c r="F1220" s="102"/>
      <c r="G1220" s="102"/>
      <c r="H1220" s="102"/>
      <c r="I1220" s="102"/>
      <c r="J1220" s="99"/>
      <c r="K1220" s="99"/>
      <c r="L1220" s="46"/>
      <c r="M1220" s="6"/>
    </row>
    <row r="1221" spans="1:13" ht="18">
      <c r="A1221" s="3">
        <v>2</v>
      </c>
      <c r="B1221" s="102"/>
      <c r="C1221" s="102"/>
      <c r="D1221" s="102"/>
      <c r="E1221" s="102"/>
      <c r="F1221" s="102"/>
      <c r="G1221" s="102"/>
      <c r="H1221" s="102"/>
      <c r="I1221" s="102"/>
      <c r="J1221" s="99"/>
      <c r="K1221" s="99"/>
      <c r="L1221" s="46"/>
      <c r="M1221" s="6"/>
    </row>
    <row r="1222" spans="1:13" ht="18">
      <c r="A1222" s="3">
        <v>3</v>
      </c>
      <c r="B1222" s="102"/>
      <c r="C1222" s="102"/>
      <c r="D1222" s="102"/>
      <c r="E1222" s="102"/>
      <c r="F1222" s="102"/>
      <c r="G1222" s="102"/>
      <c r="H1222" s="102"/>
      <c r="I1222" s="102"/>
      <c r="J1222" s="99"/>
      <c r="K1222" s="99"/>
      <c r="L1222" s="46"/>
      <c r="M1222" s="6"/>
    </row>
    <row r="1223" spans="1:13" ht="18">
      <c r="A1223" s="3">
        <v>4</v>
      </c>
      <c r="B1223" s="102"/>
      <c r="C1223" s="102"/>
      <c r="D1223" s="102"/>
      <c r="E1223" s="102"/>
      <c r="F1223" s="102"/>
      <c r="G1223" s="102"/>
      <c r="H1223" s="102"/>
      <c r="I1223" s="102"/>
      <c r="J1223" s="99"/>
      <c r="K1223" s="99"/>
      <c r="L1223" s="46"/>
      <c r="M1223" s="6"/>
    </row>
    <row r="1224" spans="1:13" ht="18">
      <c r="A1224" s="3">
        <v>5</v>
      </c>
      <c r="B1224" s="102"/>
      <c r="C1224" s="102"/>
      <c r="D1224" s="102"/>
      <c r="E1224" s="102"/>
      <c r="F1224" s="102"/>
      <c r="G1224" s="102"/>
      <c r="H1224" s="102"/>
      <c r="I1224" s="102"/>
      <c r="J1224" s="99"/>
      <c r="K1224" s="99"/>
      <c r="L1224" s="46"/>
      <c r="M1224" s="6"/>
    </row>
    <row r="1225" spans="1:13" ht="18">
      <c r="A1225" s="3">
        <v>6</v>
      </c>
      <c r="B1225" s="102"/>
      <c r="C1225" s="102"/>
      <c r="D1225" s="102"/>
      <c r="E1225" s="102"/>
      <c r="F1225" s="102"/>
      <c r="G1225" s="102"/>
      <c r="H1225" s="102"/>
      <c r="I1225" s="102"/>
      <c r="J1225" s="99"/>
      <c r="K1225" s="99"/>
      <c r="L1225" s="46"/>
      <c r="M1225" s="6"/>
    </row>
    <row r="1226" spans="1:13" ht="18">
      <c r="A1226" s="3">
        <v>7</v>
      </c>
      <c r="B1226" s="102"/>
      <c r="C1226" s="102"/>
      <c r="D1226" s="102"/>
      <c r="E1226" s="102"/>
      <c r="F1226" s="102"/>
      <c r="G1226" s="102"/>
      <c r="H1226" s="102"/>
      <c r="I1226" s="102"/>
      <c r="J1226" s="99"/>
      <c r="K1226" s="99"/>
      <c r="L1226" s="46"/>
      <c r="M1226" s="6"/>
    </row>
    <row r="1227" spans="1:13" ht="18">
      <c r="A1227" s="3">
        <v>8</v>
      </c>
      <c r="B1227" s="102"/>
      <c r="C1227" s="102"/>
      <c r="D1227" s="102"/>
      <c r="E1227" s="102"/>
      <c r="F1227" s="102"/>
      <c r="G1227" s="102"/>
      <c r="H1227" s="102"/>
      <c r="I1227" s="102"/>
      <c r="J1227" s="99"/>
      <c r="K1227" s="99"/>
      <c r="L1227" s="46"/>
      <c r="M1227" s="6"/>
    </row>
    <row r="1228" spans="1:13" ht="18">
      <c r="A1228" s="3">
        <v>9</v>
      </c>
      <c r="B1228" s="102"/>
      <c r="C1228" s="102"/>
      <c r="D1228" s="102"/>
      <c r="E1228" s="102"/>
      <c r="F1228" s="102"/>
      <c r="G1228" s="102"/>
      <c r="H1228" s="102"/>
      <c r="I1228" s="102"/>
      <c r="J1228" s="99"/>
      <c r="K1228" s="99"/>
      <c r="L1228" s="46"/>
      <c r="M1228" s="6"/>
    </row>
    <row r="1229" spans="1:13" ht="18">
      <c r="A1229" s="3">
        <v>10</v>
      </c>
      <c r="B1229" s="102"/>
      <c r="C1229" s="102"/>
      <c r="D1229" s="102"/>
      <c r="E1229" s="102"/>
      <c r="F1229" s="102"/>
      <c r="G1229" s="102"/>
      <c r="H1229" s="102"/>
      <c r="I1229" s="102"/>
      <c r="J1229" s="99"/>
      <c r="K1229" s="99"/>
      <c r="L1229" s="46"/>
      <c r="M1229" s="6"/>
    </row>
    <row r="1230" spans="1:13" ht="18">
      <c r="A1230" s="3">
        <v>11</v>
      </c>
      <c r="B1230" s="102"/>
      <c r="C1230" s="102"/>
      <c r="D1230" s="102"/>
      <c r="E1230" s="102"/>
      <c r="F1230" s="102"/>
      <c r="G1230" s="102"/>
      <c r="H1230" s="102"/>
      <c r="I1230" s="102"/>
      <c r="J1230" s="99"/>
      <c r="K1230" s="99"/>
      <c r="L1230" s="46"/>
      <c r="M1230" s="6"/>
    </row>
    <row r="1231" spans="1:13" ht="18">
      <c r="A1231" s="3">
        <v>12</v>
      </c>
      <c r="B1231" s="102"/>
      <c r="C1231" s="102"/>
      <c r="D1231" s="102"/>
      <c r="E1231" s="102"/>
      <c r="F1231" s="102"/>
      <c r="G1231" s="102"/>
      <c r="H1231" s="102"/>
      <c r="I1231" s="102"/>
      <c r="J1231" s="99"/>
      <c r="K1231" s="99"/>
      <c r="L1231" s="46"/>
      <c r="M1231" s="6"/>
    </row>
    <row r="1232" spans="1:13" ht="18">
      <c r="A1232" s="3">
        <v>13</v>
      </c>
      <c r="B1232" s="102"/>
      <c r="C1232" s="102"/>
      <c r="D1232" s="102"/>
      <c r="E1232" s="102"/>
      <c r="F1232" s="102"/>
      <c r="G1232" s="102"/>
      <c r="H1232" s="102"/>
      <c r="I1232" s="102"/>
      <c r="J1232" s="99"/>
      <c r="K1232" s="99"/>
      <c r="L1232" s="46"/>
      <c r="M1232" s="6"/>
    </row>
    <row r="1233" spans="1:13" ht="18">
      <c r="A1233" s="3">
        <v>14</v>
      </c>
      <c r="B1233" s="102"/>
      <c r="C1233" s="102"/>
      <c r="D1233" s="102"/>
      <c r="E1233" s="102"/>
      <c r="F1233" s="102"/>
      <c r="G1233" s="102"/>
      <c r="H1233" s="102"/>
      <c r="I1233" s="102"/>
      <c r="J1233" s="99"/>
      <c r="K1233" s="99"/>
      <c r="L1233" s="46"/>
      <c r="M1233" s="6"/>
    </row>
    <row r="1234" spans="1:13" ht="18">
      <c r="A1234" s="3">
        <v>15</v>
      </c>
      <c r="B1234" s="102"/>
      <c r="C1234" s="102"/>
      <c r="D1234" s="102"/>
      <c r="E1234" s="102"/>
      <c r="F1234" s="102"/>
      <c r="G1234" s="102"/>
      <c r="H1234" s="102"/>
      <c r="I1234" s="102"/>
      <c r="J1234" s="99"/>
      <c r="K1234" s="99"/>
      <c r="L1234" s="46"/>
      <c r="M1234" s="6"/>
    </row>
    <row r="1235" spans="1:13" ht="18">
      <c r="A1235" s="3">
        <v>16</v>
      </c>
      <c r="B1235" s="102"/>
      <c r="C1235" s="102"/>
      <c r="D1235" s="102"/>
      <c r="E1235" s="102"/>
      <c r="F1235" s="102"/>
      <c r="G1235" s="102"/>
      <c r="H1235" s="102"/>
      <c r="I1235" s="102"/>
      <c r="J1235" s="99"/>
      <c r="K1235" s="99"/>
      <c r="L1235" s="46"/>
      <c r="M1235" s="6"/>
    </row>
    <row r="1236" spans="1:13" ht="18">
      <c r="A1236" s="3">
        <v>17</v>
      </c>
      <c r="B1236" s="102"/>
      <c r="C1236" s="102"/>
      <c r="D1236" s="102"/>
      <c r="E1236" s="102"/>
      <c r="F1236" s="102"/>
      <c r="G1236" s="102"/>
      <c r="H1236" s="102"/>
      <c r="I1236" s="102"/>
      <c r="J1236" s="99"/>
      <c r="K1236" s="99"/>
      <c r="L1236" s="46"/>
      <c r="M1236" s="6"/>
    </row>
    <row r="1237" spans="1:13" ht="18">
      <c r="A1237" s="3">
        <v>18</v>
      </c>
      <c r="B1237" s="102"/>
      <c r="C1237" s="102"/>
      <c r="D1237" s="102"/>
      <c r="E1237" s="102"/>
      <c r="F1237" s="102"/>
      <c r="G1237" s="102"/>
      <c r="H1237" s="102"/>
      <c r="I1237" s="102"/>
      <c r="J1237" s="99"/>
      <c r="K1237" s="99"/>
      <c r="L1237" s="46"/>
      <c r="M1237" s="6"/>
    </row>
    <row r="1238" spans="1:13" ht="18">
      <c r="A1238" s="3">
        <v>19</v>
      </c>
      <c r="B1238" s="102"/>
      <c r="C1238" s="102"/>
      <c r="D1238" s="102"/>
      <c r="E1238" s="102"/>
      <c r="F1238" s="102"/>
      <c r="G1238" s="102"/>
      <c r="H1238" s="102"/>
      <c r="I1238" s="102"/>
      <c r="J1238" s="99"/>
      <c r="K1238" s="99"/>
      <c r="L1238" s="46"/>
      <c r="M1238" s="6"/>
    </row>
    <row r="1239" spans="1:13" ht="18">
      <c r="A1239" s="3">
        <v>20</v>
      </c>
      <c r="B1239" s="102"/>
      <c r="C1239" s="102"/>
      <c r="D1239" s="102"/>
      <c r="E1239" s="102"/>
      <c r="F1239" s="102"/>
      <c r="G1239" s="102"/>
      <c r="H1239" s="102"/>
      <c r="I1239" s="102"/>
      <c r="J1239" s="99"/>
      <c r="K1239" s="99"/>
      <c r="L1239" s="46"/>
      <c r="M1239" s="6"/>
    </row>
    <row r="1240" spans="1:13" ht="18">
      <c r="A1240" s="3">
        <v>21</v>
      </c>
      <c r="B1240" s="102"/>
      <c r="C1240" s="102"/>
      <c r="D1240" s="102"/>
      <c r="E1240" s="102"/>
      <c r="F1240" s="102"/>
      <c r="G1240" s="102"/>
      <c r="H1240" s="102"/>
      <c r="I1240" s="102"/>
      <c r="J1240" s="99"/>
      <c r="K1240" s="99"/>
      <c r="L1240" s="46"/>
      <c r="M1240" s="6"/>
    </row>
    <row r="1241" spans="1:13" ht="18">
      <c r="A1241" s="3">
        <v>22</v>
      </c>
      <c r="B1241" s="102"/>
      <c r="C1241" s="102"/>
      <c r="D1241" s="102"/>
      <c r="E1241" s="102"/>
      <c r="F1241" s="102"/>
      <c r="G1241" s="102"/>
      <c r="H1241" s="102"/>
      <c r="I1241" s="102"/>
      <c r="J1241" s="99"/>
      <c r="K1241" s="99"/>
      <c r="L1241" s="46"/>
      <c r="M1241" s="6"/>
    </row>
    <row r="1242" spans="1:13" ht="18">
      <c r="A1242" s="3">
        <v>23</v>
      </c>
      <c r="B1242" s="102"/>
      <c r="C1242" s="102"/>
      <c r="D1242" s="102"/>
      <c r="E1242" s="102"/>
      <c r="F1242" s="102"/>
      <c r="G1242" s="102"/>
      <c r="H1242" s="102"/>
      <c r="I1242" s="102"/>
      <c r="J1242" s="99"/>
      <c r="K1242" s="99"/>
      <c r="L1242" s="46"/>
      <c r="M1242" s="6"/>
    </row>
    <row r="1243" spans="1:13" ht="18">
      <c r="A1243" s="3">
        <v>24</v>
      </c>
      <c r="B1243" s="102"/>
      <c r="C1243" s="102"/>
      <c r="D1243" s="102"/>
      <c r="E1243" s="102"/>
      <c r="F1243" s="102"/>
      <c r="G1243" s="102"/>
      <c r="H1243" s="102"/>
      <c r="I1243" s="102"/>
      <c r="J1243" s="99"/>
      <c r="K1243" s="99"/>
      <c r="L1243" s="46"/>
      <c r="M1243" s="6"/>
    </row>
    <row r="1244" spans="1:13" ht="18">
      <c r="A1244" s="3">
        <v>25</v>
      </c>
      <c r="B1244" s="102"/>
      <c r="C1244" s="102"/>
      <c r="D1244" s="102"/>
      <c r="E1244" s="102"/>
      <c r="F1244" s="102"/>
      <c r="G1244" s="102"/>
      <c r="H1244" s="102"/>
      <c r="I1244" s="102"/>
      <c r="J1244" s="99"/>
      <c r="K1244" s="99"/>
      <c r="L1244" s="46"/>
      <c r="M1244" s="6"/>
    </row>
    <row r="1245" spans="1:13" ht="18">
      <c r="A1245" s="3">
        <v>26</v>
      </c>
      <c r="B1245" s="102"/>
      <c r="C1245" s="102"/>
      <c r="D1245" s="102"/>
      <c r="E1245" s="102"/>
      <c r="F1245" s="102"/>
      <c r="G1245" s="102"/>
      <c r="H1245" s="102"/>
      <c r="I1245" s="102"/>
      <c r="J1245" s="99"/>
      <c r="K1245" s="99"/>
      <c r="L1245" s="46"/>
      <c r="M1245" s="6"/>
    </row>
    <row r="1246" spans="1:13" ht="18">
      <c r="A1246" s="3">
        <v>27</v>
      </c>
      <c r="B1246" s="102"/>
      <c r="C1246" s="102"/>
      <c r="D1246" s="102"/>
      <c r="E1246" s="102"/>
      <c r="F1246" s="102"/>
      <c r="G1246" s="102"/>
      <c r="H1246" s="102"/>
      <c r="I1246" s="102"/>
      <c r="J1246" s="99"/>
      <c r="K1246" s="99"/>
      <c r="L1246" s="46"/>
      <c r="M1246" s="6"/>
    </row>
    <row r="1247" spans="1:13" ht="18">
      <c r="A1247" s="3">
        <v>28</v>
      </c>
      <c r="B1247" s="102"/>
      <c r="C1247" s="102"/>
      <c r="D1247" s="102"/>
      <c r="E1247" s="102"/>
      <c r="F1247" s="102"/>
      <c r="G1247" s="102"/>
      <c r="H1247" s="102"/>
      <c r="I1247" s="102"/>
      <c r="J1247" s="99"/>
      <c r="K1247" s="99"/>
      <c r="L1247" s="46"/>
      <c r="M1247" s="6"/>
    </row>
    <row r="1248" spans="1:13">
      <c r="B1248" s="102"/>
      <c r="C1248" s="102"/>
      <c r="D1248" s="102"/>
      <c r="E1248" s="102"/>
      <c r="F1248" s="102"/>
      <c r="G1248" s="102"/>
      <c r="H1248" s="102"/>
      <c r="I1248" s="102"/>
      <c r="J1248" s="99"/>
      <c r="K1248" s="99"/>
      <c r="L1248" s="46"/>
      <c r="M1248" s="6"/>
    </row>
    <row r="1249" spans="2:13">
      <c r="B1249" s="97"/>
      <c r="C1249" s="98"/>
      <c r="D1249" s="97"/>
      <c r="E1249" s="98"/>
      <c r="F1249" s="97"/>
      <c r="G1249" s="98"/>
      <c r="H1249" s="97"/>
      <c r="I1249" s="98"/>
      <c r="J1249" s="99"/>
      <c r="K1249" s="99"/>
      <c r="L1249" s="46"/>
      <c r="M1249" s="6"/>
    </row>
    <row r="1250" spans="2:13">
      <c r="B1250" s="93"/>
      <c r="C1250" s="94"/>
      <c r="D1250" s="93"/>
      <c r="E1250" s="94"/>
      <c r="F1250" s="93"/>
      <c r="G1250" s="94"/>
      <c r="H1250" s="93"/>
      <c r="I1250" s="94"/>
      <c r="J1250" s="95"/>
      <c r="K1250" s="96"/>
      <c r="L1250" s="46"/>
      <c r="M1250" s="6"/>
    </row>
    <row r="1251" spans="2:13">
      <c r="M1251" s="6"/>
    </row>
  </sheetData>
  <mergeCells count="4946">
    <mergeCell ref="B6:C6"/>
    <mergeCell ref="D6:E6"/>
    <mergeCell ref="F6:G6"/>
    <mergeCell ref="H6:I6"/>
    <mergeCell ref="J6:K6"/>
    <mergeCell ref="B16:C16"/>
    <mergeCell ref="D16:E16"/>
    <mergeCell ref="F16:G16"/>
    <mergeCell ref="H16:I16"/>
    <mergeCell ref="J16:K16"/>
    <mergeCell ref="B15:C15"/>
    <mergeCell ref="D15:E15"/>
    <mergeCell ref="F15:G15"/>
    <mergeCell ref="H15:I15"/>
    <mergeCell ref="J15:K15"/>
    <mergeCell ref="B12:C12"/>
    <mergeCell ref="D12:E12"/>
    <mergeCell ref="F12:G12"/>
    <mergeCell ref="H12:I12"/>
    <mergeCell ref="J12:K12"/>
    <mergeCell ref="B11:C11"/>
    <mergeCell ref="D11:E11"/>
    <mergeCell ref="F11:G11"/>
    <mergeCell ref="H11:I11"/>
    <mergeCell ref="J11:K11"/>
    <mergeCell ref="B14:C14"/>
    <mergeCell ref="D14:E14"/>
    <mergeCell ref="F14:G14"/>
    <mergeCell ref="H14:I14"/>
    <mergeCell ref="J14:K14"/>
    <mergeCell ref="B13:C13"/>
    <mergeCell ref="D13:E13"/>
    <mergeCell ref="B17:C17"/>
    <mergeCell ref="D17:E17"/>
    <mergeCell ref="F17:G17"/>
    <mergeCell ref="H17:I17"/>
    <mergeCell ref="J17:K17"/>
    <mergeCell ref="B20:C20"/>
    <mergeCell ref="D20:E20"/>
    <mergeCell ref="F20:G20"/>
    <mergeCell ref="H20:I20"/>
    <mergeCell ref="J20:K20"/>
    <mergeCell ref="B19:C19"/>
    <mergeCell ref="D19:E19"/>
    <mergeCell ref="F19:G19"/>
    <mergeCell ref="H19:I19"/>
    <mergeCell ref="J19:K19"/>
    <mergeCell ref="B7:C7"/>
    <mergeCell ref="D7:E7"/>
    <mergeCell ref="F7:G7"/>
    <mergeCell ref="H7:I7"/>
    <mergeCell ref="J7:K7"/>
    <mergeCell ref="F13:G13"/>
    <mergeCell ref="H13:I13"/>
    <mergeCell ref="J13:K13"/>
    <mergeCell ref="B21:C21"/>
    <mergeCell ref="D21:E21"/>
    <mergeCell ref="F21:G21"/>
    <mergeCell ref="H21:I21"/>
    <mergeCell ref="J21:K21"/>
    <mergeCell ref="B24:C24"/>
    <mergeCell ref="D24:E24"/>
    <mergeCell ref="F24:G24"/>
    <mergeCell ref="H24:I24"/>
    <mergeCell ref="J24:K24"/>
    <mergeCell ref="B23:C23"/>
    <mergeCell ref="D23:E23"/>
    <mergeCell ref="F23:G23"/>
    <mergeCell ref="H23:I23"/>
    <mergeCell ref="J23:K23"/>
    <mergeCell ref="B18:C18"/>
    <mergeCell ref="D18:E18"/>
    <mergeCell ref="F18:G18"/>
    <mergeCell ref="H18:I18"/>
    <mergeCell ref="J18:K18"/>
    <mergeCell ref="B25:C25"/>
    <mergeCell ref="D25:E25"/>
    <mergeCell ref="F25:G25"/>
    <mergeCell ref="H25:I25"/>
    <mergeCell ref="J25:K25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22:C22"/>
    <mergeCell ref="D22:E22"/>
    <mergeCell ref="F22:G22"/>
    <mergeCell ref="H22:I22"/>
    <mergeCell ref="J22:K22"/>
    <mergeCell ref="B29:C29"/>
    <mergeCell ref="D29:E29"/>
    <mergeCell ref="F29:G29"/>
    <mergeCell ref="H29:I29"/>
    <mergeCell ref="J29:K29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26:C26"/>
    <mergeCell ref="D26:E26"/>
    <mergeCell ref="F26:G26"/>
    <mergeCell ref="H26:I26"/>
    <mergeCell ref="J26:K26"/>
    <mergeCell ref="B33:C33"/>
    <mergeCell ref="D33:E33"/>
    <mergeCell ref="F33:G33"/>
    <mergeCell ref="H33:I33"/>
    <mergeCell ref="J33:K33"/>
    <mergeCell ref="B36:C36"/>
    <mergeCell ref="D36:E36"/>
    <mergeCell ref="F36:G36"/>
    <mergeCell ref="H36:I36"/>
    <mergeCell ref="J36:K36"/>
    <mergeCell ref="B35:C35"/>
    <mergeCell ref="D35:E35"/>
    <mergeCell ref="F35:G35"/>
    <mergeCell ref="H35:I35"/>
    <mergeCell ref="J35:K35"/>
    <mergeCell ref="B30:C30"/>
    <mergeCell ref="D30:E30"/>
    <mergeCell ref="F30:G30"/>
    <mergeCell ref="H30:I30"/>
    <mergeCell ref="J30:K30"/>
    <mergeCell ref="B37:C37"/>
    <mergeCell ref="D37:E37"/>
    <mergeCell ref="F37:G37"/>
    <mergeCell ref="H37:I37"/>
    <mergeCell ref="J37:K37"/>
    <mergeCell ref="B40:C40"/>
    <mergeCell ref="D40:E40"/>
    <mergeCell ref="F40:G40"/>
    <mergeCell ref="H40:I40"/>
    <mergeCell ref="J40:K40"/>
    <mergeCell ref="B39:C39"/>
    <mergeCell ref="D39:E39"/>
    <mergeCell ref="F39:G39"/>
    <mergeCell ref="H39:I39"/>
    <mergeCell ref="J39:K39"/>
    <mergeCell ref="B34:C34"/>
    <mergeCell ref="D34:E34"/>
    <mergeCell ref="F34:G34"/>
    <mergeCell ref="H34:I34"/>
    <mergeCell ref="J34:K34"/>
    <mergeCell ref="B41:C41"/>
    <mergeCell ref="D41:E41"/>
    <mergeCell ref="F41:G41"/>
    <mergeCell ref="H41:I41"/>
    <mergeCell ref="J41:K41"/>
    <mergeCell ref="B52:C52"/>
    <mergeCell ref="D52:E52"/>
    <mergeCell ref="F52:G52"/>
    <mergeCell ref="H52:I52"/>
    <mergeCell ref="J52:K52"/>
    <mergeCell ref="B48:C48"/>
    <mergeCell ref="D48:E48"/>
    <mergeCell ref="F48:G48"/>
    <mergeCell ref="H48:I48"/>
    <mergeCell ref="J48:K48"/>
    <mergeCell ref="B38:C38"/>
    <mergeCell ref="D38:E38"/>
    <mergeCell ref="F38:G38"/>
    <mergeCell ref="H38:I38"/>
    <mergeCell ref="J38:K38"/>
    <mergeCell ref="B53:C53"/>
    <mergeCell ref="D53:E53"/>
    <mergeCell ref="F53:G53"/>
    <mergeCell ref="H53:I53"/>
    <mergeCell ref="J53:K53"/>
    <mergeCell ref="B56:C56"/>
    <mergeCell ref="D56:E56"/>
    <mergeCell ref="F56:G56"/>
    <mergeCell ref="H56:I56"/>
    <mergeCell ref="J56:K56"/>
    <mergeCell ref="B55:C55"/>
    <mergeCell ref="D55:E55"/>
    <mergeCell ref="F55:G55"/>
    <mergeCell ref="H55:I55"/>
    <mergeCell ref="J55:K55"/>
    <mergeCell ref="B47:C47"/>
    <mergeCell ref="D47:E47"/>
    <mergeCell ref="F47:G47"/>
    <mergeCell ref="H47:I47"/>
    <mergeCell ref="J47:K47"/>
    <mergeCell ref="B57:C57"/>
    <mergeCell ref="D57:E57"/>
    <mergeCell ref="F57:G57"/>
    <mergeCell ref="H57:I57"/>
    <mergeCell ref="J57:K57"/>
    <mergeCell ref="B60:C60"/>
    <mergeCell ref="D60:E60"/>
    <mergeCell ref="F60:G60"/>
    <mergeCell ref="H60:I60"/>
    <mergeCell ref="J60:K60"/>
    <mergeCell ref="B59:C59"/>
    <mergeCell ref="D59:E59"/>
    <mergeCell ref="F59:G59"/>
    <mergeCell ref="H59:I59"/>
    <mergeCell ref="J59:K59"/>
    <mergeCell ref="B54:C54"/>
    <mergeCell ref="D54:E54"/>
    <mergeCell ref="F54:G54"/>
    <mergeCell ref="H54:I54"/>
    <mergeCell ref="J54:K54"/>
    <mergeCell ref="B61:C61"/>
    <mergeCell ref="D61:E61"/>
    <mergeCell ref="F61:G61"/>
    <mergeCell ref="H61:I61"/>
    <mergeCell ref="J61:K61"/>
    <mergeCell ref="B64:C64"/>
    <mergeCell ref="D64:E64"/>
    <mergeCell ref="F64:G64"/>
    <mergeCell ref="H64:I64"/>
    <mergeCell ref="J64:K64"/>
    <mergeCell ref="B63:C63"/>
    <mergeCell ref="D63:E63"/>
    <mergeCell ref="F63:G63"/>
    <mergeCell ref="H63:I63"/>
    <mergeCell ref="J63:K63"/>
    <mergeCell ref="B58:C58"/>
    <mergeCell ref="D58:E58"/>
    <mergeCell ref="F58:G58"/>
    <mergeCell ref="H58:I58"/>
    <mergeCell ref="J58:K58"/>
    <mergeCell ref="B65:C65"/>
    <mergeCell ref="D65:E65"/>
    <mergeCell ref="F65:G65"/>
    <mergeCell ref="H65:I65"/>
    <mergeCell ref="J65:K65"/>
    <mergeCell ref="B68:C68"/>
    <mergeCell ref="D68:E68"/>
    <mergeCell ref="F68:G68"/>
    <mergeCell ref="H68:I68"/>
    <mergeCell ref="J68:K68"/>
    <mergeCell ref="B67:C67"/>
    <mergeCell ref="D67:E67"/>
    <mergeCell ref="F67:G67"/>
    <mergeCell ref="H67:I67"/>
    <mergeCell ref="J67:K67"/>
    <mergeCell ref="B62:C62"/>
    <mergeCell ref="D62:E62"/>
    <mergeCell ref="F62:G62"/>
    <mergeCell ref="H62:I62"/>
    <mergeCell ref="J62:K62"/>
    <mergeCell ref="B69:C69"/>
    <mergeCell ref="D69:E69"/>
    <mergeCell ref="F69:G69"/>
    <mergeCell ref="H69:I69"/>
    <mergeCell ref="J69:K69"/>
    <mergeCell ref="B72:C72"/>
    <mergeCell ref="D72:E72"/>
    <mergeCell ref="F72:G72"/>
    <mergeCell ref="H72:I72"/>
    <mergeCell ref="J72:K72"/>
    <mergeCell ref="B71:C71"/>
    <mergeCell ref="D71:E71"/>
    <mergeCell ref="F71:G71"/>
    <mergeCell ref="H71:I71"/>
    <mergeCell ref="J71:K71"/>
    <mergeCell ref="B66:C66"/>
    <mergeCell ref="D66:E66"/>
    <mergeCell ref="F66:G66"/>
    <mergeCell ref="H66:I66"/>
    <mergeCell ref="J66:K66"/>
    <mergeCell ref="B73:C73"/>
    <mergeCell ref="D73:E73"/>
    <mergeCell ref="F73:G73"/>
    <mergeCell ref="H73:I73"/>
    <mergeCell ref="J73:K73"/>
    <mergeCell ref="B76:C76"/>
    <mergeCell ref="D76:E76"/>
    <mergeCell ref="F76:G76"/>
    <mergeCell ref="H76:I76"/>
    <mergeCell ref="J76:K76"/>
    <mergeCell ref="B75:C75"/>
    <mergeCell ref="D75:E75"/>
    <mergeCell ref="F75:G75"/>
    <mergeCell ref="H75:I75"/>
    <mergeCell ref="J75:K75"/>
    <mergeCell ref="B70:C70"/>
    <mergeCell ref="D70:E70"/>
    <mergeCell ref="F70:G70"/>
    <mergeCell ref="H70:I70"/>
    <mergeCell ref="J70:K70"/>
    <mergeCell ref="B77:C77"/>
    <mergeCell ref="D77:E77"/>
    <mergeCell ref="F77:G77"/>
    <mergeCell ref="H77:I77"/>
    <mergeCell ref="J77:K77"/>
    <mergeCell ref="B80:C80"/>
    <mergeCell ref="D80:E80"/>
    <mergeCell ref="F80:G80"/>
    <mergeCell ref="H80:I80"/>
    <mergeCell ref="J80:K80"/>
    <mergeCell ref="B79:C79"/>
    <mergeCell ref="D79:E79"/>
    <mergeCell ref="F79:G79"/>
    <mergeCell ref="H79:I79"/>
    <mergeCell ref="J79:K79"/>
    <mergeCell ref="B74:C74"/>
    <mergeCell ref="D74:E74"/>
    <mergeCell ref="F74:G74"/>
    <mergeCell ref="H74:I74"/>
    <mergeCell ref="J74:K74"/>
    <mergeCell ref="B81:C81"/>
    <mergeCell ref="D81:E81"/>
    <mergeCell ref="F81:G81"/>
    <mergeCell ref="H81:I81"/>
    <mergeCell ref="J81:K81"/>
    <mergeCell ref="B89:C89"/>
    <mergeCell ref="D89:E89"/>
    <mergeCell ref="F89:G89"/>
    <mergeCell ref="H89:I89"/>
    <mergeCell ref="J89:K89"/>
    <mergeCell ref="B88:C88"/>
    <mergeCell ref="D88:E88"/>
    <mergeCell ref="F88:G88"/>
    <mergeCell ref="H88:I88"/>
    <mergeCell ref="J88:K88"/>
    <mergeCell ref="B78:C78"/>
    <mergeCell ref="D78:E78"/>
    <mergeCell ref="F78:G78"/>
    <mergeCell ref="H78:I78"/>
    <mergeCell ref="J78:K78"/>
    <mergeCell ref="B93:C93"/>
    <mergeCell ref="D93:E93"/>
    <mergeCell ref="F93:G93"/>
    <mergeCell ref="H93:I93"/>
    <mergeCell ref="J93:K93"/>
    <mergeCell ref="B96:C96"/>
    <mergeCell ref="D96:E96"/>
    <mergeCell ref="F96:G96"/>
    <mergeCell ref="H96:I96"/>
    <mergeCell ref="J96:K96"/>
    <mergeCell ref="B95:C95"/>
    <mergeCell ref="D95:E95"/>
    <mergeCell ref="F95:G95"/>
    <mergeCell ref="H95:I95"/>
    <mergeCell ref="J95:K95"/>
    <mergeCell ref="B82:C82"/>
    <mergeCell ref="D82:E82"/>
    <mergeCell ref="F82:G82"/>
    <mergeCell ref="H82:I82"/>
    <mergeCell ref="J82:K82"/>
    <mergeCell ref="B97:C97"/>
    <mergeCell ref="D97:E97"/>
    <mergeCell ref="F97:G97"/>
    <mergeCell ref="H97:I97"/>
    <mergeCell ref="J97:K97"/>
    <mergeCell ref="B100:C100"/>
    <mergeCell ref="D100:E100"/>
    <mergeCell ref="F100:G100"/>
    <mergeCell ref="H100:I100"/>
    <mergeCell ref="J100:K100"/>
    <mergeCell ref="B99:C99"/>
    <mergeCell ref="D99:E99"/>
    <mergeCell ref="F99:G99"/>
    <mergeCell ref="H99:I99"/>
    <mergeCell ref="J99:K99"/>
    <mergeCell ref="B94:C94"/>
    <mergeCell ref="D94:E94"/>
    <mergeCell ref="F94:G94"/>
    <mergeCell ref="H94:I94"/>
    <mergeCell ref="J94:K94"/>
    <mergeCell ref="B101:C101"/>
    <mergeCell ref="D101:E101"/>
    <mergeCell ref="F101:G101"/>
    <mergeCell ref="H101:I101"/>
    <mergeCell ref="J101:K101"/>
    <mergeCell ref="B104:C104"/>
    <mergeCell ref="D104:E104"/>
    <mergeCell ref="F104:G104"/>
    <mergeCell ref="H104:I104"/>
    <mergeCell ref="J104:K104"/>
    <mergeCell ref="B103:C103"/>
    <mergeCell ref="D103:E103"/>
    <mergeCell ref="F103:G103"/>
    <mergeCell ref="H103:I103"/>
    <mergeCell ref="J103:K103"/>
    <mergeCell ref="B98:C98"/>
    <mergeCell ref="D98:E98"/>
    <mergeCell ref="F98:G98"/>
    <mergeCell ref="H98:I98"/>
    <mergeCell ref="J98:K98"/>
    <mergeCell ref="B105:C105"/>
    <mergeCell ref="D105:E105"/>
    <mergeCell ref="F105:G105"/>
    <mergeCell ref="H105:I105"/>
    <mergeCell ref="J105:K105"/>
    <mergeCell ref="B108:C108"/>
    <mergeCell ref="D108:E108"/>
    <mergeCell ref="F108:G108"/>
    <mergeCell ref="H108:I108"/>
    <mergeCell ref="J108:K108"/>
    <mergeCell ref="B107:C107"/>
    <mergeCell ref="D107:E107"/>
    <mergeCell ref="F107:G107"/>
    <mergeCell ref="H107:I107"/>
    <mergeCell ref="J107:K107"/>
    <mergeCell ref="B102:C102"/>
    <mergeCell ref="D102:E102"/>
    <mergeCell ref="F102:G102"/>
    <mergeCell ref="H102:I102"/>
    <mergeCell ref="J102:K102"/>
    <mergeCell ref="B109:C109"/>
    <mergeCell ref="D109:E109"/>
    <mergeCell ref="F109:G109"/>
    <mergeCell ref="H109:I109"/>
    <mergeCell ref="J109:K109"/>
    <mergeCell ref="B112:C112"/>
    <mergeCell ref="D112:E112"/>
    <mergeCell ref="F112:G112"/>
    <mergeCell ref="H112:I112"/>
    <mergeCell ref="J112:K112"/>
    <mergeCell ref="B111:C111"/>
    <mergeCell ref="D111:E111"/>
    <mergeCell ref="F111:G111"/>
    <mergeCell ref="H111:I111"/>
    <mergeCell ref="J111:K111"/>
    <mergeCell ref="B106:C106"/>
    <mergeCell ref="D106:E106"/>
    <mergeCell ref="F106:G106"/>
    <mergeCell ref="H106:I106"/>
    <mergeCell ref="J106:K106"/>
    <mergeCell ref="B113:C113"/>
    <mergeCell ref="D113:E113"/>
    <mergeCell ref="F113:G113"/>
    <mergeCell ref="H113:I113"/>
    <mergeCell ref="J113:K113"/>
    <mergeCell ref="B116:C116"/>
    <mergeCell ref="D116:E116"/>
    <mergeCell ref="F116:G116"/>
    <mergeCell ref="H116:I116"/>
    <mergeCell ref="J116:K116"/>
    <mergeCell ref="B115:C115"/>
    <mergeCell ref="D115:E115"/>
    <mergeCell ref="F115:G115"/>
    <mergeCell ref="H115:I115"/>
    <mergeCell ref="J115:K115"/>
    <mergeCell ref="B110:C110"/>
    <mergeCell ref="D110:E110"/>
    <mergeCell ref="F110:G110"/>
    <mergeCell ref="H110:I110"/>
    <mergeCell ref="J110:K110"/>
    <mergeCell ref="B117:C117"/>
    <mergeCell ref="D117:E117"/>
    <mergeCell ref="F117:G117"/>
    <mergeCell ref="H117:I117"/>
    <mergeCell ref="J117:K117"/>
    <mergeCell ref="B120:C120"/>
    <mergeCell ref="D120:E120"/>
    <mergeCell ref="F120:G120"/>
    <mergeCell ref="H120:I120"/>
    <mergeCell ref="J120:K120"/>
    <mergeCell ref="B119:C119"/>
    <mergeCell ref="D119:E119"/>
    <mergeCell ref="F119:G119"/>
    <mergeCell ref="H119:I119"/>
    <mergeCell ref="J119:K119"/>
    <mergeCell ref="B114:C114"/>
    <mergeCell ref="D114:E114"/>
    <mergeCell ref="F114:G114"/>
    <mergeCell ref="H114:I114"/>
    <mergeCell ref="J114:K114"/>
    <mergeCell ref="B121:C121"/>
    <mergeCell ref="D121:E121"/>
    <mergeCell ref="F121:G121"/>
    <mergeCell ref="H121:I121"/>
    <mergeCell ref="J121:K121"/>
    <mergeCell ref="B129:C129"/>
    <mergeCell ref="D129:E129"/>
    <mergeCell ref="F129:G129"/>
    <mergeCell ref="H129:I129"/>
    <mergeCell ref="J129:K129"/>
    <mergeCell ref="B123:C123"/>
    <mergeCell ref="D123:E123"/>
    <mergeCell ref="F123:G123"/>
    <mergeCell ref="H123:I123"/>
    <mergeCell ref="J123:K123"/>
    <mergeCell ref="B118:C118"/>
    <mergeCell ref="D118:E118"/>
    <mergeCell ref="F118:G118"/>
    <mergeCell ref="H118:I118"/>
    <mergeCell ref="J118:K118"/>
    <mergeCell ref="B130:C130"/>
    <mergeCell ref="D130:E130"/>
    <mergeCell ref="F130:G130"/>
    <mergeCell ref="H130:I130"/>
    <mergeCell ref="J130:K130"/>
    <mergeCell ref="B136:C136"/>
    <mergeCell ref="D136:E136"/>
    <mergeCell ref="F136:G136"/>
    <mergeCell ref="H136:I136"/>
    <mergeCell ref="J136:K136"/>
    <mergeCell ref="B135:C135"/>
    <mergeCell ref="D135:E135"/>
    <mergeCell ref="F135:G135"/>
    <mergeCell ref="H135:I135"/>
    <mergeCell ref="J135:K135"/>
    <mergeCell ref="B122:C122"/>
    <mergeCell ref="D122:E122"/>
    <mergeCell ref="F122:G122"/>
    <mergeCell ref="H122:I122"/>
    <mergeCell ref="J122:K122"/>
    <mergeCell ref="B137:C137"/>
    <mergeCell ref="D137:E137"/>
    <mergeCell ref="F137:G137"/>
    <mergeCell ref="H137:I137"/>
    <mergeCell ref="J137:K137"/>
    <mergeCell ref="B140:C140"/>
    <mergeCell ref="D140:E140"/>
    <mergeCell ref="F140:G140"/>
    <mergeCell ref="H140:I140"/>
    <mergeCell ref="J140:K140"/>
    <mergeCell ref="B139:C139"/>
    <mergeCell ref="D139:E139"/>
    <mergeCell ref="F139:G139"/>
    <mergeCell ref="H139:I139"/>
    <mergeCell ref="J139:K139"/>
    <mergeCell ref="B134:C134"/>
    <mergeCell ref="D134:E134"/>
    <mergeCell ref="F134:G134"/>
    <mergeCell ref="H134:I134"/>
    <mergeCell ref="J134:K134"/>
    <mergeCell ref="B141:C141"/>
    <mergeCell ref="D141:E141"/>
    <mergeCell ref="F141:G141"/>
    <mergeCell ref="H141:I141"/>
    <mergeCell ref="J141:K141"/>
    <mergeCell ref="B144:C144"/>
    <mergeCell ref="D144:E144"/>
    <mergeCell ref="F144:G144"/>
    <mergeCell ref="H144:I144"/>
    <mergeCell ref="J144:K144"/>
    <mergeCell ref="B143:C143"/>
    <mergeCell ref="D143:E143"/>
    <mergeCell ref="F143:G143"/>
    <mergeCell ref="H143:I143"/>
    <mergeCell ref="J143:K143"/>
    <mergeCell ref="B138:C138"/>
    <mergeCell ref="D138:E138"/>
    <mergeCell ref="F138:G138"/>
    <mergeCell ref="H138:I138"/>
    <mergeCell ref="J138:K138"/>
    <mergeCell ref="B145:C145"/>
    <mergeCell ref="D145:E145"/>
    <mergeCell ref="F145:G145"/>
    <mergeCell ref="H145:I145"/>
    <mergeCell ref="J145:K145"/>
    <mergeCell ref="B148:C148"/>
    <mergeCell ref="D148:E148"/>
    <mergeCell ref="F148:G148"/>
    <mergeCell ref="H148:I148"/>
    <mergeCell ref="J148:K148"/>
    <mergeCell ref="B147:C147"/>
    <mergeCell ref="D147:E147"/>
    <mergeCell ref="F147:G147"/>
    <mergeCell ref="H147:I147"/>
    <mergeCell ref="J147:K147"/>
    <mergeCell ref="B142:C142"/>
    <mergeCell ref="D142:E142"/>
    <mergeCell ref="F142:G142"/>
    <mergeCell ref="H142:I142"/>
    <mergeCell ref="J142:K142"/>
    <mergeCell ref="B149:C149"/>
    <mergeCell ref="D149:E149"/>
    <mergeCell ref="F149:G149"/>
    <mergeCell ref="H149:I149"/>
    <mergeCell ref="J149:K149"/>
    <mergeCell ref="B152:C152"/>
    <mergeCell ref="D152:E152"/>
    <mergeCell ref="F152:G152"/>
    <mergeCell ref="H152:I152"/>
    <mergeCell ref="J152:K152"/>
    <mergeCell ref="B151:C151"/>
    <mergeCell ref="D151:E151"/>
    <mergeCell ref="F151:G151"/>
    <mergeCell ref="H151:I151"/>
    <mergeCell ref="J151:K151"/>
    <mergeCell ref="B146:C146"/>
    <mergeCell ref="D146:E146"/>
    <mergeCell ref="F146:G146"/>
    <mergeCell ref="H146:I146"/>
    <mergeCell ref="J146:K146"/>
    <mergeCell ref="B153:C153"/>
    <mergeCell ref="D153:E153"/>
    <mergeCell ref="F153:G153"/>
    <mergeCell ref="H153:I153"/>
    <mergeCell ref="J153:K153"/>
    <mergeCell ref="B156:C156"/>
    <mergeCell ref="D156:E156"/>
    <mergeCell ref="F156:G156"/>
    <mergeCell ref="H156:I156"/>
    <mergeCell ref="J156:K156"/>
    <mergeCell ref="B155:C155"/>
    <mergeCell ref="D155:E155"/>
    <mergeCell ref="F155:G155"/>
    <mergeCell ref="H155:I155"/>
    <mergeCell ref="J155:K155"/>
    <mergeCell ref="B150:C150"/>
    <mergeCell ref="D150:E150"/>
    <mergeCell ref="F150:G150"/>
    <mergeCell ref="H150:I150"/>
    <mergeCell ref="J150:K150"/>
    <mergeCell ref="B157:C157"/>
    <mergeCell ref="D157:E157"/>
    <mergeCell ref="F157:G157"/>
    <mergeCell ref="H157:I157"/>
    <mergeCell ref="J157:K157"/>
    <mergeCell ref="B160:C160"/>
    <mergeCell ref="D160:E160"/>
    <mergeCell ref="F160:G160"/>
    <mergeCell ref="H160:I160"/>
    <mergeCell ref="J160:K160"/>
    <mergeCell ref="B159:C159"/>
    <mergeCell ref="D159:E159"/>
    <mergeCell ref="F159:G159"/>
    <mergeCell ref="H159:I159"/>
    <mergeCell ref="J159:K159"/>
    <mergeCell ref="B154:C154"/>
    <mergeCell ref="D154:E154"/>
    <mergeCell ref="F154:G154"/>
    <mergeCell ref="H154:I154"/>
    <mergeCell ref="J154:K154"/>
    <mergeCell ref="B161:C161"/>
    <mergeCell ref="D161:E161"/>
    <mergeCell ref="F161:G161"/>
    <mergeCell ref="H161:I161"/>
    <mergeCell ref="J161:K161"/>
    <mergeCell ref="B164:C164"/>
    <mergeCell ref="D164:E164"/>
    <mergeCell ref="F164:G164"/>
    <mergeCell ref="H164:I164"/>
    <mergeCell ref="J164:K164"/>
    <mergeCell ref="B163:C163"/>
    <mergeCell ref="D163:E163"/>
    <mergeCell ref="F163:G163"/>
    <mergeCell ref="H163:I163"/>
    <mergeCell ref="J163:K163"/>
    <mergeCell ref="B158:C158"/>
    <mergeCell ref="D158:E158"/>
    <mergeCell ref="F158:G158"/>
    <mergeCell ref="H158:I158"/>
    <mergeCell ref="J158:K158"/>
    <mergeCell ref="B170:C170"/>
    <mergeCell ref="D170:E170"/>
    <mergeCell ref="F170:G170"/>
    <mergeCell ref="H170:I170"/>
    <mergeCell ref="J170:K170"/>
    <mergeCell ref="B176:C176"/>
    <mergeCell ref="D176:E176"/>
    <mergeCell ref="F176:G176"/>
    <mergeCell ref="H176:I176"/>
    <mergeCell ref="J176:K176"/>
    <mergeCell ref="B175:C175"/>
    <mergeCell ref="D175:E175"/>
    <mergeCell ref="F175:G175"/>
    <mergeCell ref="H175:I175"/>
    <mergeCell ref="J175:K175"/>
    <mergeCell ref="B162:C162"/>
    <mergeCell ref="D162:E162"/>
    <mergeCell ref="F162:G162"/>
    <mergeCell ref="H162:I162"/>
    <mergeCell ref="J162:K162"/>
    <mergeCell ref="B177:C177"/>
    <mergeCell ref="D177:E177"/>
    <mergeCell ref="F177:G177"/>
    <mergeCell ref="H177:I177"/>
    <mergeCell ref="J177:K177"/>
    <mergeCell ref="B180:C180"/>
    <mergeCell ref="D180:E180"/>
    <mergeCell ref="F180:G180"/>
    <mergeCell ref="H180:I180"/>
    <mergeCell ref="J180:K180"/>
    <mergeCell ref="B179:C179"/>
    <mergeCell ref="D179:E179"/>
    <mergeCell ref="F179:G179"/>
    <mergeCell ref="H179:I179"/>
    <mergeCell ref="J179:K179"/>
    <mergeCell ref="B171:C171"/>
    <mergeCell ref="D171:E171"/>
    <mergeCell ref="F171:G171"/>
    <mergeCell ref="H171:I171"/>
    <mergeCell ref="J171:K171"/>
    <mergeCell ref="B181:C181"/>
    <mergeCell ref="D181:E181"/>
    <mergeCell ref="F181:G181"/>
    <mergeCell ref="H181:I181"/>
    <mergeCell ref="J181:K181"/>
    <mergeCell ref="B184:C184"/>
    <mergeCell ref="D184:E184"/>
    <mergeCell ref="F184:G184"/>
    <mergeCell ref="H184:I184"/>
    <mergeCell ref="J184:K184"/>
    <mergeCell ref="B183:C183"/>
    <mergeCell ref="D183:E183"/>
    <mergeCell ref="F183:G183"/>
    <mergeCell ref="H183:I183"/>
    <mergeCell ref="J183:K183"/>
    <mergeCell ref="B178:C178"/>
    <mergeCell ref="D178:E178"/>
    <mergeCell ref="F178:G178"/>
    <mergeCell ref="H178:I178"/>
    <mergeCell ref="J178:K178"/>
    <mergeCell ref="B185:C185"/>
    <mergeCell ref="D185:E185"/>
    <mergeCell ref="F185:G185"/>
    <mergeCell ref="H185:I185"/>
    <mergeCell ref="J185:K185"/>
    <mergeCell ref="B188:C188"/>
    <mergeCell ref="D188:E188"/>
    <mergeCell ref="F188:G188"/>
    <mergeCell ref="H188:I188"/>
    <mergeCell ref="J188:K188"/>
    <mergeCell ref="B187:C187"/>
    <mergeCell ref="D187:E187"/>
    <mergeCell ref="F187:G187"/>
    <mergeCell ref="H187:I187"/>
    <mergeCell ref="J187:K187"/>
    <mergeCell ref="B182:C182"/>
    <mergeCell ref="D182:E182"/>
    <mergeCell ref="F182:G182"/>
    <mergeCell ref="H182:I182"/>
    <mergeCell ref="J182:K182"/>
    <mergeCell ref="B189:C189"/>
    <mergeCell ref="D189:E189"/>
    <mergeCell ref="F189:G189"/>
    <mergeCell ref="H189:I189"/>
    <mergeCell ref="J189:K189"/>
    <mergeCell ref="B192:C192"/>
    <mergeCell ref="D192:E192"/>
    <mergeCell ref="F192:G192"/>
    <mergeCell ref="H192:I192"/>
    <mergeCell ref="J192:K192"/>
    <mergeCell ref="B191:C191"/>
    <mergeCell ref="D191:E191"/>
    <mergeCell ref="F191:G191"/>
    <mergeCell ref="H191:I191"/>
    <mergeCell ref="J191:K191"/>
    <mergeCell ref="B186:C186"/>
    <mergeCell ref="D186:E186"/>
    <mergeCell ref="F186:G186"/>
    <mergeCell ref="H186:I186"/>
    <mergeCell ref="J186:K186"/>
    <mergeCell ref="B193:C193"/>
    <mergeCell ref="D193:E193"/>
    <mergeCell ref="F193:G193"/>
    <mergeCell ref="H193:I193"/>
    <mergeCell ref="J193:K193"/>
    <mergeCell ref="B196:C196"/>
    <mergeCell ref="D196:E196"/>
    <mergeCell ref="F196:G196"/>
    <mergeCell ref="H196:I196"/>
    <mergeCell ref="J196:K196"/>
    <mergeCell ref="B195:C195"/>
    <mergeCell ref="D195:E195"/>
    <mergeCell ref="F195:G195"/>
    <mergeCell ref="H195:I195"/>
    <mergeCell ref="J195:K195"/>
    <mergeCell ref="B190:C190"/>
    <mergeCell ref="D190:E190"/>
    <mergeCell ref="F190:G190"/>
    <mergeCell ref="H190:I190"/>
    <mergeCell ref="J190:K190"/>
    <mergeCell ref="B197:C197"/>
    <mergeCell ref="D197:E197"/>
    <mergeCell ref="F197:G197"/>
    <mergeCell ref="H197:I197"/>
    <mergeCell ref="J197:K197"/>
    <mergeCell ref="B200:C200"/>
    <mergeCell ref="D200:E200"/>
    <mergeCell ref="F200:G200"/>
    <mergeCell ref="H200:I200"/>
    <mergeCell ref="J200:K200"/>
    <mergeCell ref="B199:C199"/>
    <mergeCell ref="D199:E199"/>
    <mergeCell ref="F199:G199"/>
    <mergeCell ref="H199:I199"/>
    <mergeCell ref="J199:K199"/>
    <mergeCell ref="B194:C194"/>
    <mergeCell ref="D194:E194"/>
    <mergeCell ref="F194:G194"/>
    <mergeCell ref="H194:I194"/>
    <mergeCell ref="J194:K194"/>
    <mergeCell ref="B201:C201"/>
    <mergeCell ref="D201:E201"/>
    <mergeCell ref="F201:G201"/>
    <mergeCell ref="H201:I201"/>
    <mergeCell ref="J201:K201"/>
    <mergeCell ref="B204:C204"/>
    <mergeCell ref="D204:E204"/>
    <mergeCell ref="F204:G204"/>
    <mergeCell ref="H204:I204"/>
    <mergeCell ref="J204:K204"/>
    <mergeCell ref="B203:C203"/>
    <mergeCell ref="D203:E203"/>
    <mergeCell ref="F203:G203"/>
    <mergeCell ref="H203:I203"/>
    <mergeCell ref="J203:K203"/>
    <mergeCell ref="B198:C198"/>
    <mergeCell ref="D198:E198"/>
    <mergeCell ref="F198:G198"/>
    <mergeCell ref="H198:I198"/>
    <mergeCell ref="J198:K198"/>
    <mergeCell ref="B205:C205"/>
    <mergeCell ref="D205:E205"/>
    <mergeCell ref="F205:G205"/>
    <mergeCell ref="H205:I205"/>
    <mergeCell ref="J205:K205"/>
    <mergeCell ref="B216:C216"/>
    <mergeCell ref="D216:E216"/>
    <mergeCell ref="F216:G216"/>
    <mergeCell ref="H216:I216"/>
    <mergeCell ref="J216:K216"/>
    <mergeCell ref="B212:C212"/>
    <mergeCell ref="D212:E212"/>
    <mergeCell ref="F212:G212"/>
    <mergeCell ref="H212:I212"/>
    <mergeCell ref="J212:K212"/>
    <mergeCell ref="B202:C202"/>
    <mergeCell ref="D202:E202"/>
    <mergeCell ref="F202:G202"/>
    <mergeCell ref="H202:I202"/>
    <mergeCell ref="J202:K202"/>
    <mergeCell ref="B217:C217"/>
    <mergeCell ref="D217:E217"/>
    <mergeCell ref="F217:G217"/>
    <mergeCell ref="H217:I217"/>
    <mergeCell ref="J217:K217"/>
    <mergeCell ref="B220:C220"/>
    <mergeCell ref="D220:E220"/>
    <mergeCell ref="F220:G220"/>
    <mergeCell ref="H220:I220"/>
    <mergeCell ref="J220:K220"/>
    <mergeCell ref="B219:C219"/>
    <mergeCell ref="D219:E219"/>
    <mergeCell ref="F219:G219"/>
    <mergeCell ref="H219:I219"/>
    <mergeCell ref="J219:K219"/>
    <mergeCell ref="B211:C211"/>
    <mergeCell ref="D211:E211"/>
    <mergeCell ref="F211:G211"/>
    <mergeCell ref="H211:I211"/>
    <mergeCell ref="J211:K211"/>
    <mergeCell ref="B221:C221"/>
    <mergeCell ref="D221:E221"/>
    <mergeCell ref="F221:G221"/>
    <mergeCell ref="H221:I221"/>
    <mergeCell ref="J221:K221"/>
    <mergeCell ref="B224:C224"/>
    <mergeCell ref="D224:E224"/>
    <mergeCell ref="F224:G224"/>
    <mergeCell ref="H224:I224"/>
    <mergeCell ref="J224:K224"/>
    <mergeCell ref="B223:C223"/>
    <mergeCell ref="D223:E223"/>
    <mergeCell ref="F223:G223"/>
    <mergeCell ref="H223:I223"/>
    <mergeCell ref="J223:K223"/>
    <mergeCell ref="B218:C218"/>
    <mergeCell ref="D218:E218"/>
    <mergeCell ref="F218:G218"/>
    <mergeCell ref="H218:I218"/>
    <mergeCell ref="J218:K218"/>
    <mergeCell ref="B225:C225"/>
    <mergeCell ref="D225:E225"/>
    <mergeCell ref="F225:G225"/>
    <mergeCell ref="H225:I225"/>
    <mergeCell ref="J225:K225"/>
    <mergeCell ref="B228:C228"/>
    <mergeCell ref="D228:E228"/>
    <mergeCell ref="F228:G228"/>
    <mergeCell ref="H228:I228"/>
    <mergeCell ref="J228:K228"/>
    <mergeCell ref="B227:C227"/>
    <mergeCell ref="D227:E227"/>
    <mergeCell ref="F227:G227"/>
    <mergeCell ref="H227:I227"/>
    <mergeCell ref="J227:K227"/>
    <mergeCell ref="B222:C222"/>
    <mergeCell ref="D222:E222"/>
    <mergeCell ref="F222:G222"/>
    <mergeCell ref="H222:I222"/>
    <mergeCell ref="J222:K222"/>
    <mergeCell ref="B229:C229"/>
    <mergeCell ref="D229:E229"/>
    <mergeCell ref="F229:G229"/>
    <mergeCell ref="H229:I229"/>
    <mergeCell ref="J229:K229"/>
    <mergeCell ref="B232:C232"/>
    <mergeCell ref="D232:E232"/>
    <mergeCell ref="F232:G232"/>
    <mergeCell ref="H232:I232"/>
    <mergeCell ref="J232:K232"/>
    <mergeCell ref="B231:C231"/>
    <mergeCell ref="D231:E231"/>
    <mergeCell ref="F231:G231"/>
    <mergeCell ref="H231:I231"/>
    <mergeCell ref="J231:K231"/>
    <mergeCell ref="B226:C226"/>
    <mergeCell ref="D226:E226"/>
    <mergeCell ref="F226:G226"/>
    <mergeCell ref="H226:I226"/>
    <mergeCell ref="J226:K226"/>
    <mergeCell ref="B233:C233"/>
    <mergeCell ref="D233:E233"/>
    <mergeCell ref="F233:G233"/>
    <mergeCell ref="H233:I233"/>
    <mergeCell ref="J233:K233"/>
    <mergeCell ref="B236:C236"/>
    <mergeCell ref="D236:E236"/>
    <mergeCell ref="F236:G236"/>
    <mergeCell ref="H236:I236"/>
    <mergeCell ref="J236:K236"/>
    <mergeCell ref="B235:C235"/>
    <mergeCell ref="D235:E235"/>
    <mergeCell ref="F235:G235"/>
    <mergeCell ref="H235:I235"/>
    <mergeCell ref="J235:K235"/>
    <mergeCell ref="B230:C230"/>
    <mergeCell ref="D230:E230"/>
    <mergeCell ref="F230:G230"/>
    <mergeCell ref="H230:I230"/>
    <mergeCell ref="J230:K230"/>
    <mergeCell ref="B237:C237"/>
    <mergeCell ref="D237:E237"/>
    <mergeCell ref="F237:G237"/>
    <mergeCell ref="H237:I237"/>
    <mergeCell ref="J237:K237"/>
    <mergeCell ref="B240:C240"/>
    <mergeCell ref="D240:E240"/>
    <mergeCell ref="F240:G240"/>
    <mergeCell ref="H240:I240"/>
    <mergeCell ref="J240:K240"/>
    <mergeCell ref="B239:C239"/>
    <mergeCell ref="D239:E239"/>
    <mergeCell ref="F239:G239"/>
    <mergeCell ref="H239:I239"/>
    <mergeCell ref="J239:K239"/>
    <mergeCell ref="B234:C234"/>
    <mergeCell ref="D234:E234"/>
    <mergeCell ref="F234:G234"/>
    <mergeCell ref="H234:I234"/>
    <mergeCell ref="J234:K234"/>
    <mergeCell ref="B241:C241"/>
    <mergeCell ref="D241:E241"/>
    <mergeCell ref="F241:G241"/>
    <mergeCell ref="H241:I241"/>
    <mergeCell ref="J241:K241"/>
    <mergeCell ref="B244:C244"/>
    <mergeCell ref="D244:E244"/>
    <mergeCell ref="F244:G244"/>
    <mergeCell ref="H244:I244"/>
    <mergeCell ref="J244:K244"/>
    <mergeCell ref="B243:C243"/>
    <mergeCell ref="D243:E243"/>
    <mergeCell ref="F243:G243"/>
    <mergeCell ref="H243:I243"/>
    <mergeCell ref="J243:K243"/>
    <mergeCell ref="B238:C238"/>
    <mergeCell ref="D238:E238"/>
    <mergeCell ref="F238:G238"/>
    <mergeCell ref="H238:I238"/>
    <mergeCell ref="J238:K238"/>
    <mergeCell ref="B245:C245"/>
    <mergeCell ref="D245:E245"/>
    <mergeCell ref="F245:G245"/>
    <mergeCell ref="H245:I245"/>
    <mergeCell ref="J245:K245"/>
    <mergeCell ref="B253:C253"/>
    <mergeCell ref="D253:E253"/>
    <mergeCell ref="F253:G253"/>
    <mergeCell ref="H253:I253"/>
    <mergeCell ref="J253:K253"/>
    <mergeCell ref="B252:C252"/>
    <mergeCell ref="D252:E252"/>
    <mergeCell ref="F252:G252"/>
    <mergeCell ref="H252:I252"/>
    <mergeCell ref="J252:K252"/>
    <mergeCell ref="B242:C242"/>
    <mergeCell ref="D242:E242"/>
    <mergeCell ref="F242:G242"/>
    <mergeCell ref="H242:I242"/>
    <mergeCell ref="J242:K242"/>
    <mergeCell ref="B257:C257"/>
    <mergeCell ref="D257:E257"/>
    <mergeCell ref="F257:G257"/>
    <mergeCell ref="H257:I257"/>
    <mergeCell ref="J257:K257"/>
    <mergeCell ref="B260:C260"/>
    <mergeCell ref="D260:E260"/>
    <mergeCell ref="F260:G260"/>
    <mergeCell ref="H260:I260"/>
    <mergeCell ref="J260:K260"/>
    <mergeCell ref="B259:C259"/>
    <mergeCell ref="D259:E259"/>
    <mergeCell ref="F259:G259"/>
    <mergeCell ref="H259:I259"/>
    <mergeCell ref="J259:K259"/>
    <mergeCell ref="B246:C246"/>
    <mergeCell ref="D246:E246"/>
    <mergeCell ref="F246:G246"/>
    <mergeCell ref="H246:I246"/>
    <mergeCell ref="J246:K246"/>
    <mergeCell ref="B261:C261"/>
    <mergeCell ref="D261:E261"/>
    <mergeCell ref="F261:G261"/>
    <mergeCell ref="H261:I261"/>
    <mergeCell ref="J261:K261"/>
    <mergeCell ref="B264:C264"/>
    <mergeCell ref="D264:E264"/>
    <mergeCell ref="F264:G264"/>
    <mergeCell ref="H264:I264"/>
    <mergeCell ref="J264:K264"/>
    <mergeCell ref="B263:C263"/>
    <mergeCell ref="D263:E263"/>
    <mergeCell ref="F263:G263"/>
    <mergeCell ref="H263:I263"/>
    <mergeCell ref="J263:K263"/>
    <mergeCell ref="B258:C258"/>
    <mergeCell ref="D258:E258"/>
    <mergeCell ref="F258:G258"/>
    <mergeCell ref="H258:I258"/>
    <mergeCell ref="J258:K258"/>
    <mergeCell ref="B265:C265"/>
    <mergeCell ref="D265:E265"/>
    <mergeCell ref="F265:G265"/>
    <mergeCell ref="H265:I265"/>
    <mergeCell ref="J265:K265"/>
    <mergeCell ref="B268:C268"/>
    <mergeCell ref="D268:E268"/>
    <mergeCell ref="F268:G268"/>
    <mergeCell ref="H268:I268"/>
    <mergeCell ref="J268:K268"/>
    <mergeCell ref="B267:C267"/>
    <mergeCell ref="D267:E267"/>
    <mergeCell ref="F267:G267"/>
    <mergeCell ref="H267:I267"/>
    <mergeCell ref="J267:K267"/>
    <mergeCell ref="B262:C262"/>
    <mergeCell ref="D262:E262"/>
    <mergeCell ref="F262:G262"/>
    <mergeCell ref="H262:I262"/>
    <mergeCell ref="J262:K262"/>
    <mergeCell ref="B269:C269"/>
    <mergeCell ref="D269:E269"/>
    <mergeCell ref="F269:G269"/>
    <mergeCell ref="H269:I269"/>
    <mergeCell ref="J269:K269"/>
    <mergeCell ref="B272:C272"/>
    <mergeCell ref="D272:E272"/>
    <mergeCell ref="F272:G272"/>
    <mergeCell ref="H272:I272"/>
    <mergeCell ref="J272:K272"/>
    <mergeCell ref="B271:C271"/>
    <mergeCell ref="D271:E271"/>
    <mergeCell ref="F271:G271"/>
    <mergeCell ref="H271:I271"/>
    <mergeCell ref="J271:K271"/>
    <mergeCell ref="B266:C266"/>
    <mergeCell ref="D266:E266"/>
    <mergeCell ref="F266:G266"/>
    <mergeCell ref="H266:I266"/>
    <mergeCell ref="J266:K266"/>
    <mergeCell ref="B273:C273"/>
    <mergeCell ref="D273:E273"/>
    <mergeCell ref="F273:G273"/>
    <mergeCell ref="H273:I273"/>
    <mergeCell ref="J273:K273"/>
    <mergeCell ref="B276:C276"/>
    <mergeCell ref="D276:E276"/>
    <mergeCell ref="F276:G276"/>
    <mergeCell ref="H276:I276"/>
    <mergeCell ref="J276:K276"/>
    <mergeCell ref="B275:C275"/>
    <mergeCell ref="D275:E275"/>
    <mergeCell ref="F275:G275"/>
    <mergeCell ref="H275:I275"/>
    <mergeCell ref="J275:K275"/>
    <mergeCell ref="B270:C270"/>
    <mergeCell ref="D270:E270"/>
    <mergeCell ref="F270:G270"/>
    <mergeCell ref="H270:I270"/>
    <mergeCell ref="J270:K270"/>
    <mergeCell ref="B277:C277"/>
    <mergeCell ref="D277:E277"/>
    <mergeCell ref="F277:G277"/>
    <mergeCell ref="H277:I277"/>
    <mergeCell ref="J277:K277"/>
    <mergeCell ref="B280:C280"/>
    <mergeCell ref="D280:E280"/>
    <mergeCell ref="F280:G280"/>
    <mergeCell ref="H280:I280"/>
    <mergeCell ref="J280:K280"/>
    <mergeCell ref="B279:C279"/>
    <mergeCell ref="D279:E279"/>
    <mergeCell ref="F279:G279"/>
    <mergeCell ref="H279:I279"/>
    <mergeCell ref="J279:K279"/>
    <mergeCell ref="B274:C274"/>
    <mergeCell ref="D274:E274"/>
    <mergeCell ref="F274:G274"/>
    <mergeCell ref="H274:I274"/>
    <mergeCell ref="J274:K274"/>
    <mergeCell ref="B281:C281"/>
    <mergeCell ref="D281:E281"/>
    <mergeCell ref="F281:G281"/>
    <mergeCell ref="H281:I281"/>
    <mergeCell ref="J281:K281"/>
    <mergeCell ref="B284:C284"/>
    <mergeCell ref="D284:E284"/>
    <mergeCell ref="F284:G284"/>
    <mergeCell ref="H284:I284"/>
    <mergeCell ref="J284:K284"/>
    <mergeCell ref="B283:C283"/>
    <mergeCell ref="D283:E283"/>
    <mergeCell ref="F283:G283"/>
    <mergeCell ref="H283:I283"/>
    <mergeCell ref="J283:K283"/>
    <mergeCell ref="B278:C278"/>
    <mergeCell ref="D278:E278"/>
    <mergeCell ref="F278:G278"/>
    <mergeCell ref="H278:I278"/>
    <mergeCell ref="J278:K278"/>
    <mergeCell ref="B285:C285"/>
    <mergeCell ref="D285:E285"/>
    <mergeCell ref="F285:G285"/>
    <mergeCell ref="H285:I285"/>
    <mergeCell ref="J285:K285"/>
    <mergeCell ref="B293:C293"/>
    <mergeCell ref="D293:E293"/>
    <mergeCell ref="F293:G293"/>
    <mergeCell ref="H293:I293"/>
    <mergeCell ref="J293:K293"/>
    <mergeCell ref="B287:C287"/>
    <mergeCell ref="D287:E287"/>
    <mergeCell ref="F287:G287"/>
    <mergeCell ref="H287:I287"/>
    <mergeCell ref="J287:K287"/>
    <mergeCell ref="B282:C282"/>
    <mergeCell ref="D282:E282"/>
    <mergeCell ref="F282:G282"/>
    <mergeCell ref="H282:I282"/>
    <mergeCell ref="J282:K282"/>
    <mergeCell ref="B294:C294"/>
    <mergeCell ref="D294:E294"/>
    <mergeCell ref="F294:G294"/>
    <mergeCell ref="H294:I294"/>
    <mergeCell ref="J294:K294"/>
    <mergeCell ref="B300:C300"/>
    <mergeCell ref="D300:E300"/>
    <mergeCell ref="F300:G300"/>
    <mergeCell ref="H300:I300"/>
    <mergeCell ref="J300:K300"/>
    <mergeCell ref="B299:C299"/>
    <mergeCell ref="D299:E299"/>
    <mergeCell ref="F299:G299"/>
    <mergeCell ref="H299:I299"/>
    <mergeCell ref="J299:K299"/>
    <mergeCell ref="B286:C286"/>
    <mergeCell ref="D286:E286"/>
    <mergeCell ref="F286:G286"/>
    <mergeCell ref="H286:I286"/>
    <mergeCell ref="J286:K286"/>
    <mergeCell ref="B301:C301"/>
    <mergeCell ref="D301:E301"/>
    <mergeCell ref="F301:G301"/>
    <mergeCell ref="H301:I301"/>
    <mergeCell ref="J301:K301"/>
    <mergeCell ref="B304:C304"/>
    <mergeCell ref="D304:E304"/>
    <mergeCell ref="F304:G304"/>
    <mergeCell ref="H304:I304"/>
    <mergeCell ref="J304:K304"/>
    <mergeCell ref="B303:C303"/>
    <mergeCell ref="D303:E303"/>
    <mergeCell ref="F303:G303"/>
    <mergeCell ref="H303:I303"/>
    <mergeCell ref="J303:K303"/>
    <mergeCell ref="B298:C298"/>
    <mergeCell ref="D298:E298"/>
    <mergeCell ref="F298:G298"/>
    <mergeCell ref="H298:I298"/>
    <mergeCell ref="J298:K298"/>
    <mergeCell ref="B305:C305"/>
    <mergeCell ref="D305:E305"/>
    <mergeCell ref="F305:G305"/>
    <mergeCell ref="H305:I305"/>
    <mergeCell ref="J305:K305"/>
    <mergeCell ref="B308:C308"/>
    <mergeCell ref="D308:E308"/>
    <mergeCell ref="F308:G308"/>
    <mergeCell ref="H308:I308"/>
    <mergeCell ref="J308:K308"/>
    <mergeCell ref="B307:C307"/>
    <mergeCell ref="D307:E307"/>
    <mergeCell ref="F307:G307"/>
    <mergeCell ref="H307:I307"/>
    <mergeCell ref="J307:K307"/>
    <mergeCell ref="B302:C302"/>
    <mergeCell ref="D302:E302"/>
    <mergeCell ref="F302:G302"/>
    <mergeCell ref="H302:I302"/>
    <mergeCell ref="J302:K302"/>
    <mergeCell ref="B309:C309"/>
    <mergeCell ref="D309:E309"/>
    <mergeCell ref="F309:G309"/>
    <mergeCell ref="H309:I309"/>
    <mergeCell ref="J309:K309"/>
    <mergeCell ref="B312:C312"/>
    <mergeCell ref="D312:E312"/>
    <mergeCell ref="F312:G312"/>
    <mergeCell ref="H312:I312"/>
    <mergeCell ref="J312:K312"/>
    <mergeCell ref="B311:C311"/>
    <mergeCell ref="D311:E311"/>
    <mergeCell ref="F311:G311"/>
    <mergeCell ref="H311:I311"/>
    <mergeCell ref="J311:K311"/>
    <mergeCell ref="B306:C306"/>
    <mergeCell ref="D306:E306"/>
    <mergeCell ref="F306:G306"/>
    <mergeCell ref="H306:I306"/>
    <mergeCell ref="J306:K306"/>
    <mergeCell ref="B313:C313"/>
    <mergeCell ref="D313:E313"/>
    <mergeCell ref="F313:G313"/>
    <mergeCell ref="H313:I313"/>
    <mergeCell ref="J313:K313"/>
    <mergeCell ref="B316:C316"/>
    <mergeCell ref="D316:E316"/>
    <mergeCell ref="F316:G316"/>
    <mergeCell ref="H316:I316"/>
    <mergeCell ref="J316:K316"/>
    <mergeCell ref="B315:C315"/>
    <mergeCell ref="D315:E315"/>
    <mergeCell ref="F315:G315"/>
    <mergeCell ref="H315:I315"/>
    <mergeCell ref="J315:K315"/>
    <mergeCell ref="B310:C310"/>
    <mergeCell ref="D310:E310"/>
    <mergeCell ref="F310:G310"/>
    <mergeCell ref="H310:I310"/>
    <mergeCell ref="J310:K310"/>
    <mergeCell ref="B317:C317"/>
    <mergeCell ref="D317:E317"/>
    <mergeCell ref="F317:G317"/>
    <mergeCell ref="H317:I317"/>
    <mergeCell ref="J317:K317"/>
    <mergeCell ref="B320:C320"/>
    <mergeCell ref="D320:E320"/>
    <mergeCell ref="F320:G320"/>
    <mergeCell ref="H320:I320"/>
    <mergeCell ref="J320:K320"/>
    <mergeCell ref="B319:C319"/>
    <mergeCell ref="D319:E319"/>
    <mergeCell ref="F319:G319"/>
    <mergeCell ref="H319:I319"/>
    <mergeCell ref="J319:K319"/>
    <mergeCell ref="B314:C314"/>
    <mergeCell ref="D314:E314"/>
    <mergeCell ref="F314:G314"/>
    <mergeCell ref="H314:I314"/>
    <mergeCell ref="J314:K314"/>
    <mergeCell ref="B321:C321"/>
    <mergeCell ref="D321:E321"/>
    <mergeCell ref="F321:G321"/>
    <mergeCell ref="H321:I321"/>
    <mergeCell ref="J321:K321"/>
    <mergeCell ref="B324:C324"/>
    <mergeCell ref="D324:E324"/>
    <mergeCell ref="F324:G324"/>
    <mergeCell ref="H324:I324"/>
    <mergeCell ref="J324:K324"/>
    <mergeCell ref="B323:C323"/>
    <mergeCell ref="D323:E323"/>
    <mergeCell ref="F323:G323"/>
    <mergeCell ref="H323:I323"/>
    <mergeCell ref="J323:K323"/>
    <mergeCell ref="B318:C318"/>
    <mergeCell ref="D318:E318"/>
    <mergeCell ref="F318:G318"/>
    <mergeCell ref="H318:I318"/>
    <mergeCell ref="J318:K318"/>
    <mergeCell ref="B325:C325"/>
    <mergeCell ref="D325:E325"/>
    <mergeCell ref="F325:G325"/>
    <mergeCell ref="H325:I325"/>
    <mergeCell ref="J325:K325"/>
    <mergeCell ref="B328:C328"/>
    <mergeCell ref="D328:E328"/>
    <mergeCell ref="F328:G328"/>
    <mergeCell ref="H328:I328"/>
    <mergeCell ref="J328:K328"/>
    <mergeCell ref="B327:C327"/>
    <mergeCell ref="D327:E327"/>
    <mergeCell ref="F327:G327"/>
    <mergeCell ref="H327:I327"/>
    <mergeCell ref="J327:K327"/>
    <mergeCell ref="B322:C322"/>
    <mergeCell ref="D322:E322"/>
    <mergeCell ref="F322:G322"/>
    <mergeCell ref="H322:I322"/>
    <mergeCell ref="J322:K322"/>
    <mergeCell ref="B334:C334"/>
    <mergeCell ref="D334:E334"/>
    <mergeCell ref="F334:G334"/>
    <mergeCell ref="H334:I334"/>
    <mergeCell ref="J334:K334"/>
    <mergeCell ref="B340:C340"/>
    <mergeCell ref="D340:E340"/>
    <mergeCell ref="F340:G340"/>
    <mergeCell ref="H340:I340"/>
    <mergeCell ref="J340:K340"/>
    <mergeCell ref="B339:C339"/>
    <mergeCell ref="D339:E339"/>
    <mergeCell ref="F339:G339"/>
    <mergeCell ref="H339:I339"/>
    <mergeCell ref="J339:K339"/>
    <mergeCell ref="B326:C326"/>
    <mergeCell ref="D326:E326"/>
    <mergeCell ref="F326:G326"/>
    <mergeCell ref="H326:I326"/>
    <mergeCell ref="J326:K326"/>
    <mergeCell ref="B341:C341"/>
    <mergeCell ref="D341:E341"/>
    <mergeCell ref="F341:G341"/>
    <mergeCell ref="H341:I341"/>
    <mergeCell ref="J341:K341"/>
    <mergeCell ref="B344:C344"/>
    <mergeCell ref="D344:E344"/>
    <mergeCell ref="F344:G344"/>
    <mergeCell ref="H344:I344"/>
    <mergeCell ref="J344:K344"/>
    <mergeCell ref="B343:C343"/>
    <mergeCell ref="D343:E343"/>
    <mergeCell ref="F343:G343"/>
    <mergeCell ref="H343:I343"/>
    <mergeCell ref="J343:K343"/>
    <mergeCell ref="B335:C335"/>
    <mergeCell ref="D335:E335"/>
    <mergeCell ref="F335:G335"/>
    <mergeCell ref="H335:I335"/>
    <mergeCell ref="J335:K335"/>
    <mergeCell ref="B345:C345"/>
    <mergeCell ref="D345:E345"/>
    <mergeCell ref="F345:G345"/>
    <mergeCell ref="H345:I345"/>
    <mergeCell ref="J345:K345"/>
    <mergeCell ref="B348:C348"/>
    <mergeCell ref="D348:E348"/>
    <mergeCell ref="F348:G348"/>
    <mergeCell ref="H348:I348"/>
    <mergeCell ref="J348:K348"/>
    <mergeCell ref="B347:C347"/>
    <mergeCell ref="D347:E347"/>
    <mergeCell ref="F347:G347"/>
    <mergeCell ref="H347:I347"/>
    <mergeCell ref="J347:K347"/>
    <mergeCell ref="B342:C342"/>
    <mergeCell ref="D342:E342"/>
    <mergeCell ref="F342:G342"/>
    <mergeCell ref="H342:I342"/>
    <mergeCell ref="J342:K342"/>
    <mergeCell ref="B349:C349"/>
    <mergeCell ref="D349:E349"/>
    <mergeCell ref="F349:G349"/>
    <mergeCell ref="H349:I349"/>
    <mergeCell ref="J349:K349"/>
    <mergeCell ref="B352:C352"/>
    <mergeCell ref="D352:E352"/>
    <mergeCell ref="F352:G352"/>
    <mergeCell ref="H352:I352"/>
    <mergeCell ref="J352:K352"/>
    <mergeCell ref="B351:C351"/>
    <mergeCell ref="D351:E351"/>
    <mergeCell ref="F351:G351"/>
    <mergeCell ref="H351:I351"/>
    <mergeCell ref="J351:K351"/>
    <mergeCell ref="B346:C346"/>
    <mergeCell ref="D346:E346"/>
    <mergeCell ref="F346:G346"/>
    <mergeCell ref="H346:I346"/>
    <mergeCell ref="J346:K346"/>
    <mergeCell ref="B353:C353"/>
    <mergeCell ref="D353:E353"/>
    <mergeCell ref="F353:G353"/>
    <mergeCell ref="H353:I353"/>
    <mergeCell ref="J353:K353"/>
    <mergeCell ref="B356:C356"/>
    <mergeCell ref="D356:E356"/>
    <mergeCell ref="F356:G356"/>
    <mergeCell ref="H356:I356"/>
    <mergeCell ref="J356:K356"/>
    <mergeCell ref="B355:C355"/>
    <mergeCell ref="D355:E355"/>
    <mergeCell ref="F355:G355"/>
    <mergeCell ref="H355:I355"/>
    <mergeCell ref="J355:K355"/>
    <mergeCell ref="B350:C350"/>
    <mergeCell ref="D350:E350"/>
    <mergeCell ref="F350:G350"/>
    <mergeCell ref="H350:I350"/>
    <mergeCell ref="J350:K350"/>
    <mergeCell ref="B357:C357"/>
    <mergeCell ref="D357:E357"/>
    <mergeCell ref="F357:G357"/>
    <mergeCell ref="H357:I357"/>
    <mergeCell ref="J357:K357"/>
    <mergeCell ref="B360:C360"/>
    <mergeCell ref="D360:E360"/>
    <mergeCell ref="F360:G360"/>
    <mergeCell ref="H360:I360"/>
    <mergeCell ref="J360:K360"/>
    <mergeCell ref="B359:C359"/>
    <mergeCell ref="D359:E359"/>
    <mergeCell ref="F359:G359"/>
    <mergeCell ref="H359:I359"/>
    <mergeCell ref="J359:K359"/>
    <mergeCell ref="B354:C354"/>
    <mergeCell ref="D354:E354"/>
    <mergeCell ref="F354:G354"/>
    <mergeCell ref="H354:I354"/>
    <mergeCell ref="J354:K354"/>
    <mergeCell ref="B361:C361"/>
    <mergeCell ref="D361:E361"/>
    <mergeCell ref="F361:G361"/>
    <mergeCell ref="H361:I361"/>
    <mergeCell ref="J361:K361"/>
    <mergeCell ref="B364:C364"/>
    <mergeCell ref="D364:E364"/>
    <mergeCell ref="F364:G364"/>
    <mergeCell ref="H364:I364"/>
    <mergeCell ref="J364:K364"/>
    <mergeCell ref="B363:C363"/>
    <mergeCell ref="D363:E363"/>
    <mergeCell ref="F363:G363"/>
    <mergeCell ref="H363:I363"/>
    <mergeCell ref="J363:K363"/>
    <mergeCell ref="B358:C358"/>
    <mergeCell ref="D358:E358"/>
    <mergeCell ref="F358:G358"/>
    <mergeCell ref="H358:I358"/>
    <mergeCell ref="J358:K358"/>
    <mergeCell ref="B365:C365"/>
    <mergeCell ref="D365:E365"/>
    <mergeCell ref="F365:G365"/>
    <mergeCell ref="H365:I365"/>
    <mergeCell ref="J365:K365"/>
    <mergeCell ref="B368:C368"/>
    <mergeCell ref="D368:E368"/>
    <mergeCell ref="F368:G368"/>
    <mergeCell ref="H368:I368"/>
    <mergeCell ref="J368:K368"/>
    <mergeCell ref="B367:C367"/>
    <mergeCell ref="D367:E367"/>
    <mergeCell ref="F367:G367"/>
    <mergeCell ref="H367:I367"/>
    <mergeCell ref="J367:K367"/>
    <mergeCell ref="B362:C362"/>
    <mergeCell ref="D362:E362"/>
    <mergeCell ref="F362:G362"/>
    <mergeCell ref="H362:I362"/>
    <mergeCell ref="J362:K362"/>
    <mergeCell ref="B369:C369"/>
    <mergeCell ref="D369:E369"/>
    <mergeCell ref="F369:G369"/>
    <mergeCell ref="H369:I369"/>
    <mergeCell ref="J369:K369"/>
    <mergeCell ref="B380:C380"/>
    <mergeCell ref="D380:E380"/>
    <mergeCell ref="F380:G380"/>
    <mergeCell ref="H380:I380"/>
    <mergeCell ref="J380:K380"/>
    <mergeCell ref="B376:C376"/>
    <mergeCell ref="D376:E376"/>
    <mergeCell ref="F376:G376"/>
    <mergeCell ref="H376:I376"/>
    <mergeCell ref="J376:K376"/>
    <mergeCell ref="B366:C366"/>
    <mergeCell ref="D366:E366"/>
    <mergeCell ref="F366:G366"/>
    <mergeCell ref="H366:I366"/>
    <mergeCell ref="J366:K366"/>
    <mergeCell ref="B381:C381"/>
    <mergeCell ref="D381:E381"/>
    <mergeCell ref="F381:G381"/>
    <mergeCell ref="H381:I381"/>
    <mergeCell ref="J381:K381"/>
    <mergeCell ref="B384:C384"/>
    <mergeCell ref="D384:E384"/>
    <mergeCell ref="F384:G384"/>
    <mergeCell ref="H384:I384"/>
    <mergeCell ref="J384:K384"/>
    <mergeCell ref="B383:C383"/>
    <mergeCell ref="D383:E383"/>
    <mergeCell ref="F383:G383"/>
    <mergeCell ref="H383:I383"/>
    <mergeCell ref="J383:K383"/>
    <mergeCell ref="B375:C375"/>
    <mergeCell ref="D375:E375"/>
    <mergeCell ref="F375:G375"/>
    <mergeCell ref="H375:I375"/>
    <mergeCell ref="J375:K375"/>
    <mergeCell ref="B385:C385"/>
    <mergeCell ref="D385:E385"/>
    <mergeCell ref="F385:G385"/>
    <mergeCell ref="H385:I385"/>
    <mergeCell ref="J385:K385"/>
    <mergeCell ref="B388:C388"/>
    <mergeCell ref="D388:E388"/>
    <mergeCell ref="F388:G388"/>
    <mergeCell ref="H388:I388"/>
    <mergeCell ref="J388:K388"/>
    <mergeCell ref="B387:C387"/>
    <mergeCell ref="D387:E387"/>
    <mergeCell ref="F387:G387"/>
    <mergeCell ref="H387:I387"/>
    <mergeCell ref="J387:K387"/>
    <mergeCell ref="B382:C382"/>
    <mergeCell ref="D382:E382"/>
    <mergeCell ref="F382:G382"/>
    <mergeCell ref="H382:I382"/>
    <mergeCell ref="J382:K382"/>
    <mergeCell ref="B389:C389"/>
    <mergeCell ref="D389:E389"/>
    <mergeCell ref="F389:G389"/>
    <mergeCell ref="H389:I389"/>
    <mergeCell ref="J389:K389"/>
    <mergeCell ref="B392:C392"/>
    <mergeCell ref="D392:E392"/>
    <mergeCell ref="F392:G392"/>
    <mergeCell ref="H392:I392"/>
    <mergeCell ref="J392:K392"/>
    <mergeCell ref="B391:C391"/>
    <mergeCell ref="D391:E391"/>
    <mergeCell ref="F391:G391"/>
    <mergeCell ref="H391:I391"/>
    <mergeCell ref="J391:K391"/>
    <mergeCell ref="B386:C386"/>
    <mergeCell ref="D386:E386"/>
    <mergeCell ref="F386:G386"/>
    <mergeCell ref="H386:I386"/>
    <mergeCell ref="J386:K386"/>
    <mergeCell ref="B393:C393"/>
    <mergeCell ref="D393:E393"/>
    <mergeCell ref="F393:G393"/>
    <mergeCell ref="H393:I393"/>
    <mergeCell ref="J393:K393"/>
    <mergeCell ref="B396:C396"/>
    <mergeCell ref="D396:E396"/>
    <mergeCell ref="F396:G396"/>
    <mergeCell ref="H396:I396"/>
    <mergeCell ref="J396:K396"/>
    <mergeCell ref="B395:C395"/>
    <mergeCell ref="D395:E395"/>
    <mergeCell ref="F395:G395"/>
    <mergeCell ref="H395:I395"/>
    <mergeCell ref="J395:K395"/>
    <mergeCell ref="B390:C390"/>
    <mergeCell ref="D390:E390"/>
    <mergeCell ref="F390:G390"/>
    <mergeCell ref="H390:I390"/>
    <mergeCell ref="J390:K390"/>
    <mergeCell ref="B397:C397"/>
    <mergeCell ref="D397:E397"/>
    <mergeCell ref="F397:G397"/>
    <mergeCell ref="H397:I397"/>
    <mergeCell ref="J397:K397"/>
    <mergeCell ref="B400:C400"/>
    <mergeCell ref="D400:E400"/>
    <mergeCell ref="F400:G400"/>
    <mergeCell ref="H400:I400"/>
    <mergeCell ref="J400:K400"/>
    <mergeCell ref="B399:C399"/>
    <mergeCell ref="D399:E399"/>
    <mergeCell ref="F399:G399"/>
    <mergeCell ref="H399:I399"/>
    <mergeCell ref="J399:K399"/>
    <mergeCell ref="B394:C394"/>
    <mergeCell ref="D394:E394"/>
    <mergeCell ref="F394:G394"/>
    <mergeCell ref="H394:I394"/>
    <mergeCell ref="J394:K394"/>
    <mergeCell ref="B401:C401"/>
    <mergeCell ref="D401:E401"/>
    <mergeCell ref="F401:G401"/>
    <mergeCell ref="H401:I401"/>
    <mergeCell ref="J401:K401"/>
    <mergeCell ref="B404:C404"/>
    <mergeCell ref="D404:E404"/>
    <mergeCell ref="F404:G404"/>
    <mergeCell ref="H404:I404"/>
    <mergeCell ref="J404:K404"/>
    <mergeCell ref="B403:C403"/>
    <mergeCell ref="D403:E403"/>
    <mergeCell ref="F403:G403"/>
    <mergeCell ref="H403:I403"/>
    <mergeCell ref="J403:K403"/>
    <mergeCell ref="B398:C398"/>
    <mergeCell ref="D398:E398"/>
    <mergeCell ref="F398:G398"/>
    <mergeCell ref="H398:I398"/>
    <mergeCell ref="J398:K398"/>
    <mergeCell ref="B405:C405"/>
    <mergeCell ref="D405:E405"/>
    <mergeCell ref="F405:G405"/>
    <mergeCell ref="H405:I405"/>
    <mergeCell ref="J405:K405"/>
    <mergeCell ref="B408:C408"/>
    <mergeCell ref="D408:E408"/>
    <mergeCell ref="F408:G408"/>
    <mergeCell ref="H408:I408"/>
    <mergeCell ref="J408:K408"/>
    <mergeCell ref="B407:C407"/>
    <mergeCell ref="D407:E407"/>
    <mergeCell ref="F407:G407"/>
    <mergeCell ref="H407:I407"/>
    <mergeCell ref="J407:K407"/>
    <mergeCell ref="B402:C402"/>
    <mergeCell ref="D402:E402"/>
    <mergeCell ref="F402:G402"/>
    <mergeCell ref="H402:I402"/>
    <mergeCell ref="J402:K402"/>
    <mergeCell ref="B409:C409"/>
    <mergeCell ref="D409:E409"/>
    <mergeCell ref="F409:G409"/>
    <mergeCell ref="H409:I409"/>
    <mergeCell ref="J409:K409"/>
    <mergeCell ref="B417:C417"/>
    <mergeCell ref="D417:E417"/>
    <mergeCell ref="F417:G417"/>
    <mergeCell ref="H417:I417"/>
    <mergeCell ref="J417:K417"/>
    <mergeCell ref="B416:C416"/>
    <mergeCell ref="D416:E416"/>
    <mergeCell ref="F416:G416"/>
    <mergeCell ref="H416:I416"/>
    <mergeCell ref="J416:K416"/>
    <mergeCell ref="B406:C406"/>
    <mergeCell ref="D406:E406"/>
    <mergeCell ref="F406:G406"/>
    <mergeCell ref="H406:I406"/>
    <mergeCell ref="J406:K406"/>
    <mergeCell ref="B421:C421"/>
    <mergeCell ref="D421:E421"/>
    <mergeCell ref="F421:G421"/>
    <mergeCell ref="H421:I421"/>
    <mergeCell ref="J421:K421"/>
    <mergeCell ref="B424:C424"/>
    <mergeCell ref="D424:E424"/>
    <mergeCell ref="F424:G424"/>
    <mergeCell ref="H424:I424"/>
    <mergeCell ref="J424:K424"/>
    <mergeCell ref="B423:C423"/>
    <mergeCell ref="D423:E423"/>
    <mergeCell ref="F423:G423"/>
    <mergeCell ref="H423:I423"/>
    <mergeCell ref="J423:K423"/>
    <mergeCell ref="B410:C410"/>
    <mergeCell ref="D410:E410"/>
    <mergeCell ref="F410:G410"/>
    <mergeCell ref="H410:I410"/>
    <mergeCell ref="J410:K410"/>
    <mergeCell ref="B425:C425"/>
    <mergeCell ref="D425:E425"/>
    <mergeCell ref="F425:G425"/>
    <mergeCell ref="H425:I425"/>
    <mergeCell ref="J425:K425"/>
    <mergeCell ref="B428:C428"/>
    <mergeCell ref="D428:E428"/>
    <mergeCell ref="F428:G428"/>
    <mergeCell ref="H428:I428"/>
    <mergeCell ref="J428:K428"/>
    <mergeCell ref="B427:C427"/>
    <mergeCell ref="D427:E427"/>
    <mergeCell ref="F427:G427"/>
    <mergeCell ref="H427:I427"/>
    <mergeCell ref="J427:K427"/>
    <mergeCell ref="B422:C422"/>
    <mergeCell ref="D422:E422"/>
    <mergeCell ref="F422:G422"/>
    <mergeCell ref="H422:I422"/>
    <mergeCell ref="J422:K422"/>
    <mergeCell ref="B429:C429"/>
    <mergeCell ref="D429:E429"/>
    <mergeCell ref="F429:G429"/>
    <mergeCell ref="H429:I429"/>
    <mergeCell ref="J429:K429"/>
    <mergeCell ref="B432:C432"/>
    <mergeCell ref="D432:E432"/>
    <mergeCell ref="F432:G432"/>
    <mergeCell ref="H432:I432"/>
    <mergeCell ref="J432:K432"/>
    <mergeCell ref="B431:C431"/>
    <mergeCell ref="D431:E431"/>
    <mergeCell ref="F431:G431"/>
    <mergeCell ref="H431:I431"/>
    <mergeCell ref="J431:K431"/>
    <mergeCell ref="B426:C426"/>
    <mergeCell ref="D426:E426"/>
    <mergeCell ref="F426:G426"/>
    <mergeCell ref="H426:I426"/>
    <mergeCell ref="J426:K426"/>
    <mergeCell ref="B433:C433"/>
    <mergeCell ref="D433:E433"/>
    <mergeCell ref="F433:G433"/>
    <mergeCell ref="H433:I433"/>
    <mergeCell ref="J433:K433"/>
    <mergeCell ref="B436:C436"/>
    <mergeCell ref="D436:E436"/>
    <mergeCell ref="F436:G436"/>
    <mergeCell ref="H436:I436"/>
    <mergeCell ref="J436:K436"/>
    <mergeCell ref="B435:C435"/>
    <mergeCell ref="D435:E435"/>
    <mergeCell ref="F435:G435"/>
    <mergeCell ref="H435:I435"/>
    <mergeCell ref="J435:K435"/>
    <mergeCell ref="B430:C430"/>
    <mergeCell ref="D430:E430"/>
    <mergeCell ref="F430:G430"/>
    <mergeCell ref="H430:I430"/>
    <mergeCell ref="J430:K430"/>
    <mergeCell ref="B437:C437"/>
    <mergeCell ref="D437:E437"/>
    <mergeCell ref="F437:G437"/>
    <mergeCell ref="H437:I437"/>
    <mergeCell ref="J437:K437"/>
    <mergeCell ref="B440:C440"/>
    <mergeCell ref="D440:E440"/>
    <mergeCell ref="F440:G440"/>
    <mergeCell ref="H440:I440"/>
    <mergeCell ref="J440:K440"/>
    <mergeCell ref="B439:C439"/>
    <mergeCell ref="D439:E439"/>
    <mergeCell ref="F439:G439"/>
    <mergeCell ref="H439:I439"/>
    <mergeCell ref="J439:K439"/>
    <mergeCell ref="B434:C434"/>
    <mergeCell ref="D434:E434"/>
    <mergeCell ref="F434:G434"/>
    <mergeCell ref="H434:I434"/>
    <mergeCell ref="J434:K434"/>
    <mergeCell ref="B441:C441"/>
    <mergeCell ref="D441:E441"/>
    <mergeCell ref="F441:G441"/>
    <mergeCell ref="H441:I441"/>
    <mergeCell ref="J441:K441"/>
    <mergeCell ref="B444:C444"/>
    <mergeCell ref="D444:E444"/>
    <mergeCell ref="F444:G444"/>
    <mergeCell ref="H444:I444"/>
    <mergeCell ref="J444:K444"/>
    <mergeCell ref="B443:C443"/>
    <mergeCell ref="D443:E443"/>
    <mergeCell ref="F443:G443"/>
    <mergeCell ref="H443:I443"/>
    <mergeCell ref="J443:K443"/>
    <mergeCell ref="B438:C438"/>
    <mergeCell ref="D438:E438"/>
    <mergeCell ref="F438:G438"/>
    <mergeCell ref="H438:I438"/>
    <mergeCell ref="J438:K438"/>
    <mergeCell ref="B445:C445"/>
    <mergeCell ref="D445:E445"/>
    <mergeCell ref="F445:G445"/>
    <mergeCell ref="H445:I445"/>
    <mergeCell ref="J445:K445"/>
    <mergeCell ref="B448:C448"/>
    <mergeCell ref="D448:E448"/>
    <mergeCell ref="F448:G448"/>
    <mergeCell ref="H448:I448"/>
    <mergeCell ref="J448:K448"/>
    <mergeCell ref="B447:C447"/>
    <mergeCell ref="D447:E447"/>
    <mergeCell ref="F447:G447"/>
    <mergeCell ref="H447:I447"/>
    <mergeCell ref="J447:K447"/>
    <mergeCell ref="B442:C442"/>
    <mergeCell ref="D442:E442"/>
    <mergeCell ref="F442:G442"/>
    <mergeCell ref="H442:I442"/>
    <mergeCell ref="J442:K442"/>
    <mergeCell ref="B449:C449"/>
    <mergeCell ref="D449:E449"/>
    <mergeCell ref="F449:G449"/>
    <mergeCell ref="H449:I449"/>
    <mergeCell ref="J449:K449"/>
    <mergeCell ref="B457:C457"/>
    <mergeCell ref="D457:E457"/>
    <mergeCell ref="F457:G457"/>
    <mergeCell ref="H457:I457"/>
    <mergeCell ref="J457:K457"/>
    <mergeCell ref="B451:C451"/>
    <mergeCell ref="D451:E451"/>
    <mergeCell ref="F451:G451"/>
    <mergeCell ref="H451:I451"/>
    <mergeCell ref="J451:K451"/>
    <mergeCell ref="B446:C446"/>
    <mergeCell ref="D446:E446"/>
    <mergeCell ref="F446:G446"/>
    <mergeCell ref="H446:I446"/>
    <mergeCell ref="J446:K446"/>
    <mergeCell ref="B458:C458"/>
    <mergeCell ref="D458:E458"/>
    <mergeCell ref="F458:G458"/>
    <mergeCell ref="H458:I458"/>
    <mergeCell ref="J458:K458"/>
    <mergeCell ref="B464:C464"/>
    <mergeCell ref="D464:E464"/>
    <mergeCell ref="F464:G464"/>
    <mergeCell ref="H464:I464"/>
    <mergeCell ref="J464:K464"/>
    <mergeCell ref="B463:C463"/>
    <mergeCell ref="D463:E463"/>
    <mergeCell ref="F463:G463"/>
    <mergeCell ref="H463:I463"/>
    <mergeCell ref="J463:K463"/>
    <mergeCell ref="B450:C450"/>
    <mergeCell ref="D450:E450"/>
    <mergeCell ref="F450:G450"/>
    <mergeCell ref="H450:I450"/>
    <mergeCell ref="J450:K450"/>
    <mergeCell ref="B465:C465"/>
    <mergeCell ref="D465:E465"/>
    <mergeCell ref="F465:G465"/>
    <mergeCell ref="H465:I465"/>
    <mergeCell ref="J465:K465"/>
    <mergeCell ref="B468:C468"/>
    <mergeCell ref="D468:E468"/>
    <mergeCell ref="F468:G468"/>
    <mergeCell ref="H468:I468"/>
    <mergeCell ref="J468:K468"/>
    <mergeCell ref="B467:C467"/>
    <mergeCell ref="D467:E467"/>
    <mergeCell ref="F467:G467"/>
    <mergeCell ref="H467:I467"/>
    <mergeCell ref="J467:K467"/>
    <mergeCell ref="B462:C462"/>
    <mergeCell ref="D462:E462"/>
    <mergeCell ref="F462:G462"/>
    <mergeCell ref="H462:I462"/>
    <mergeCell ref="J462:K462"/>
    <mergeCell ref="B469:C469"/>
    <mergeCell ref="D469:E469"/>
    <mergeCell ref="F469:G469"/>
    <mergeCell ref="H469:I469"/>
    <mergeCell ref="J469:K469"/>
    <mergeCell ref="B472:C472"/>
    <mergeCell ref="D472:E472"/>
    <mergeCell ref="F472:G472"/>
    <mergeCell ref="H472:I472"/>
    <mergeCell ref="J472:K472"/>
    <mergeCell ref="B471:C471"/>
    <mergeCell ref="D471:E471"/>
    <mergeCell ref="F471:G471"/>
    <mergeCell ref="H471:I471"/>
    <mergeCell ref="J471:K471"/>
    <mergeCell ref="B466:C466"/>
    <mergeCell ref="D466:E466"/>
    <mergeCell ref="F466:G466"/>
    <mergeCell ref="H466:I466"/>
    <mergeCell ref="J466:K466"/>
    <mergeCell ref="B473:C473"/>
    <mergeCell ref="D473:E473"/>
    <mergeCell ref="F473:G473"/>
    <mergeCell ref="H473:I473"/>
    <mergeCell ref="J473:K473"/>
    <mergeCell ref="B476:C476"/>
    <mergeCell ref="D476:E476"/>
    <mergeCell ref="F476:G476"/>
    <mergeCell ref="H476:I476"/>
    <mergeCell ref="J476:K476"/>
    <mergeCell ref="B475:C475"/>
    <mergeCell ref="D475:E475"/>
    <mergeCell ref="F475:G475"/>
    <mergeCell ref="H475:I475"/>
    <mergeCell ref="J475:K475"/>
    <mergeCell ref="B470:C470"/>
    <mergeCell ref="D470:E470"/>
    <mergeCell ref="F470:G470"/>
    <mergeCell ref="H470:I470"/>
    <mergeCell ref="J470:K470"/>
    <mergeCell ref="B477:C477"/>
    <mergeCell ref="D477:E477"/>
    <mergeCell ref="F477:G477"/>
    <mergeCell ref="H477:I477"/>
    <mergeCell ref="J477:K477"/>
    <mergeCell ref="B480:C480"/>
    <mergeCell ref="D480:E480"/>
    <mergeCell ref="F480:G480"/>
    <mergeCell ref="H480:I480"/>
    <mergeCell ref="J480:K480"/>
    <mergeCell ref="B479:C479"/>
    <mergeCell ref="D479:E479"/>
    <mergeCell ref="F479:G479"/>
    <mergeCell ref="H479:I479"/>
    <mergeCell ref="J479:K479"/>
    <mergeCell ref="B474:C474"/>
    <mergeCell ref="D474:E474"/>
    <mergeCell ref="F474:G474"/>
    <mergeCell ref="H474:I474"/>
    <mergeCell ref="J474:K474"/>
    <mergeCell ref="B481:C481"/>
    <mergeCell ref="D481:E481"/>
    <mergeCell ref="F481:G481"/>
    <mergeCell ref="H481:I481"/>
    <mergeCell ref="J481:K481"/>
    <mergeCell ref="B484:C484"/>
    <mergeCell ref="D484:E484"/>
    <mergeCell ref="F484:G484"/>
    <mergeCell ref="H484:I484"/>
    <mergeCell ref="J484:K484"/>
    <mergeCell ref="B483:C483"/>
    <mergeCell ref="D483:E483"/>
    <mergeCell ref="F483:G483"/>
    <mergeCell ref="H483:I483"/>
    <mergeCell ref="J483:K483"/>
    <mergeCell ref="B478:C478"/>
    <mergeCell ref="D478:E478"/>
    <mergeCell ref="F478:G478"/>
    <mergeCell ref="H478:I478"/>
    <mergeCell ref="J478:K478"/>
    <mergeCell ref="B485:C485"/>
    <mergeCell ref="D485:E485"/>
    <mergeCell ref="F485:G485"/>
    <mergeCell ref="H485:I485"/>
    <mergeCell ref="J485:K485"/>
    <mergeCell ref="B488:C488"/>
    <mergeCell ref="D488:E488"/>
    <mergeCell ref="F488:G488"/>
    <mergeCell ref="H488:I488"/>
    <mergeCell ref="J488:K488"/>
    <mergeCell ref="B487:C487"/>
    <mergeCell ref="D487:E487"/>
    <mergeCell ref="F487:G487"/>
    <mergeCell ref="H487:I487"/>
    <mergeCell ref="J487:K487"/>
    <mergeCell ref="B482:C482"/>
    <mergeCell ref="D482:E482"/>
    <mergeCell ref="F482:G482"/>
    <mergeCell ref="H482:I482"/>
    <mergeCell ref="J482:K482"/>
    <mergeCell ref="B489:C489"/>
    <mergeCell ref="D489:E489"/>
    <mergeCell ref="F489:G489"/>
    <mergeCell ref="H489:I489"/>
    <mergeCell ref="J489:K489"/>
    <mergeCell ref="B492:C492"/>
    <mergeCell ref="D492:E492"/>
    <mergeCell ref="F492:G492"/>
    <mergeCell ref="H492:I492"/>
    <mergeCell ref="J492:K492"/>
    <mergeCell ref="B491:C491"/>
    <mergeCell ref="D491:E491"/>
    <mergeCell ref="F491:G491"/>
    <mergeCell ref="H491:I491"/>
    <mergeCell ref="J491:K491"/>
    <mergeCell ref="B486:C486"/>
    <mergeCell ref="D486:E486"/>
    <mergeCell ref="F486:G486"/>
    <mergeCell ref="H486:I486"/>
    <mergeCell ref="J486:K486"/>
    <mergeCell ref="B498:C498"/>
    <mergeCell ref="D498:E498"/>
    <mergeCell ref="F498:G498"/>
    <mergeCell ref="H498:I498"/>
    <mergeCell ref="J498:K498"/>
    <mergeCell ref="B504:C504"/>
    <mergeCell ref="D504:E504"/>
    <mergeCell ref="F504:G504"/>
    <mergeCell ref="H504:I504"/>
    <mergeCell ref="J504:K504"/>
    <mergeCell ref="B503:C503"/>
    <mergeCell ref="D503:E503"/>
    <mergeCell ref="F503:G503"/>
    <mergeCell ref="H503:I503"/>
    <mergeCell ref="J503:K503"/>
    <mergeCell ref="B490:C490"/>
    <mergeCell ref="D490:E490"/>
    <mergeCell ref="F490:G490"/>
    <mergeCell ref="H490:I490"/>
    <mergeCell ref="J490:K490"/>
    <mergeCell ref="B505:C505"/>
    <mergeCell ref="D505:E505"/>
    <mergeCell ref="F505:G505"/>
    <mergeCell ref="H505:I505"/>
    <mergeCell ref="J505:K505"/>
    <mergeCell ref="B508:C508"/>
    <mergeCell ref="D508:E508"/>
    <mergeCell ref="F508:G508"/>
    <mergeCell ref="H508:I508"/>
    <mergeCell ref="J508:K508"/>
    <mergeCell ref="B507:C507"/>
    <mergeCell ref="D507:E507"/>
    <mergeCell ref="F507:G507"/>
    <mergeCell ref="H507:I507"/>
    <mergeCell ref="J507:K507"/>
    <mergeCell ref="B499:C499"/>
    <mergeCell ref="D499:E499"/>
    <mergeCell ref="F499:G499"/>
    <mergeCell ref="H499:I499"/>
    <mergeCell ref="J499:K499"/>
    <mergeCell ref="B509:C509"/>
    <mergeCell ref="D509:E509"/>
    <mergeCell ref="F509:G509"/>
    <mergeCell ref="H509:I509"/>
    <mergeCell ref="J509:K509"/>
    <mergeCell ref="B512:C512"/>
    <mergeCell ref="D512:E512"/>
    <mergeCell ref="F512:G512"/>
    <mergeCell ref="H512:I512"/>
    <mergeCell ref="J512:K512"/>
    <mergeCell ref="B511:C511"/>
    <mergeCell ref="D511:E511"/>
    <mergeCell ref="F511:G511"/>
    <mergeCell ref="H511:I511"/>
    <mergeCell ref="J511:K511"/>
    <mergeCell ref="B506:C506"/>
    <mergeCell ref="D506:E506"/>
    <mergeCell ref="F506:G506"/>
    <mergeCell ref="H506:I506"/>
    <mergeCell ref="J506:K506"/>
    <mergeCell ref="B513:C513"/>
    <mergeCell ref="D513:E513"/>
    <mergeCell ref="F513:G513"/>
    <mergeCell ref="H513:I513"/>
    <mergeCell ref="J513:K513"/>
    <mergeCell ref="B516:C516"/>
    <mergeCell ref="D516:E516"/>
    <mergeCell ref="F516:G516"/>
    <mergeCell ref="H516:I516"/>
    <mergeCell ref="J516:K516"/>
    <mergeCell ref="B515:C515"/>
    <mergeCell ref="D515:E515"/>
    <mergeCell ref="F515:G515"/>
    <mergeCell ref="H515:I515"/>
    <mergeCell ref="J515:K515"/>
    <mergeCell ref="B510:C510"/>
    <mergeCell ref="D510:E510"/>
    <mergeCell ref="F510:G510"/>
    <mergeCell ref="H510:I510"/>
    <mergeCell ref="J510:K510"/>
    <mergeCell ref="B517:C517"/>
    <mergeCell ref="D517:E517"/>
    <mergeCell ref="F517:G517"/>
    <mergeCell ref="H517:I517"/>
    <mergeCell ref="J517:K517"/>
    <mergeCell ref="B520:C520"/>
    <mergeCell ref="D520:E520"/>
    <mergeCell ref="F520:G520"/>
    <mergeCell ref="H520:I520"/>
    <mergeCell ref="J520:K520"/>
    <mergeCell ref="B519:C519"/>
    <mergeCell ref="D519:E519"/>
    <mergeCell ref="F519:G519"/>
    <mergeCell ref="H519:I519"/>
    <mergeCell ref="J519:K519"/>
    <mergeCell ref="B514:C514"/>
    <mergeCell ref="D514:E514"/>
    <mergeCell ref="F514:G514"/>
    <mergeCell ref="H514:I514"/>
    <mergeCell ref="J514:K514"/>
    <mergeCell ref="B521:C521"/>
    <mergeCell ref="D521:E521"/>
    <mergeCell ref="F521:G521"/>
    <mergeCell ref="H521:I521"/>
    <mergeCell ref="J521:K521"/>
    <mergeCell ref="B524:C524"/>
    <mergeCell ref="D524:E524"/>
    <mergeCell ref="F524:G524"/>
    <mergeCell ref="H524:I524"/>
    <mergeCell ref="J524:K524"/>
    <mergeCell ref="B523:C523"/>
    <mergeCell ref="D523:E523"/>
    <mergeCell ref="F523:G523"/>
    <mergeCell ref="H523:I523"/>
    <mergeCell ref="J523:K523"/>
    <mergeCell ref="B518:C518"/>
    <mergeCell ref="D518:E518"/>
    <mergeCell ref="F518:G518"/>
    <mergeCell ref="H518:I518"/>
    <mergeCell ref="J518:K518"/>
    <mergeCell ref="B525:C525"/>
    <mergeCell ref="D525:E525"/>
    <mergeCell ref="F525:G525"/>
    <mergeCell ref="H525:I525"/>
    <mergeCell ref="J525:K525"/>
    <mergeCell ref="B528:C528"/>
    <mergeCell ref="D528:E528"/>
    <mergeCell ref="F528:G528"/>
    <mergeCell ref="H528:I528"/>
    <mergeCell ref="J528:K528"/>
    <mergeCell ref="B527:C527"/>
    <mergeCell ref="D527:E527"/>
    <mergeCell ref="F527:G527"/>
    <mergeCell ref="H527:I527"/>
    <mergeCell ref="J527:K527"/>
    <mergeCell ref="B522:C522"/>
    <mergeCell ref="D522:E522"/>
    <mergeCell ref="F522:G522"/>
    <mergeCell ref="H522:I522"/>
    <mergeCell ref="J522:K522"/>
    <mergeCell ref="B529:C529"/>
    <mergeCell ref="D529:E529"/>
    <mergeCell ref="F529:G529"/>
    <mergeCell ref="H529:I529"/>
    <mergeCell ref="J529:K529"/>
    <mergeCell ref="B532:C532"/>
    <mergeCell ref="D532:E532"/>
    <mergeCell ref="F532:G532"/>
    <mergeCell ref="H532:I532"/>
    <mergeCell ref="J532:K532"/>
    <mergeCell ref="B531:C531"/>
    <mergeCell ref="D531:E531"/>
    <mergeCell ref="F531:G531"/>
    <mergeCell ref="H531:I531"/>
    <mergeCell ref="J531:K531"/>
    <mergeCell ref="B526:C526"/>
    <mergeCell ref="D526:E526"/>
    <mergeCell ref="F526:G526"/>
    <mergeCell ref="H526:I526"/>
    <mergeCell ref="J526:K526"/>
    <mergeCell ref="B533:C533"/>
    <mergeCell ref="D533:E533"/>
    <mergeCell ref="F533:G533"/>
    <mergeCell ref="H533:I533"/>
    <mergeCell ref="J533:K533"/>
    <mergeCell ref="B544:C544"/>
    <mergeCell ref="D544:E544"/>
    <mergeCell ref="F544:G544"/>
    <mergeCell ref="H544:I544"/>
    <mergeCell ref="J544:K544"/>
    <mergeCell ref="B540:C540"/>
    <mergeCell ref="D540:E540"/>
    <mergeCell ref="F540:G540"/>
    <mergeCell ref="H540:I540"/>
    <mergeCell ref="J540:K540"/>
    <mergeCell ref="B530:C530"/>
    <mergeCell ref="D530:E530"/>
    <mergeCell ref="F530:G530"/>
    <mergeCell ref="H530:I530"/>
    <mergeCell ref="J530:K530"/>
    <mergeCell ref="B545:C545"/>
    <mergeCell ref="D545:E545"/>
    <mergeCell ref="F545:G545"/>
    <mergeCell ref="H545:I545"/>
    <mergeCell ref="J545:K545"/>
    <mergeCell ref="B548:C548"/>
    <mergeCell ref="D548:E548"/>
    <mergeCell ref="F548:G548"/>
    <mergeCell ref="H548:I548"/>
    <mergeCell ref="J548:K548"/>
    <mergeCell ref="B547:C547"/>
    <mergeCell ref="D547:E547"/>
    <mergeCell ref="F547:G547"/>
    <mergeCell ref="H547:I547"/>
    <mergeCell ref="J547:K547"/>
    <mergeCell ref="B539:C539"/>
    <mergeCell ref="D539:E539"/>
    <mergeCell ref="F539:G539"/>
    <mergeCell ref="H539:I539"/>
    <mergeCell ref="J539:K539"/>
    <mergeCell ref="B549:C549"/>
    <mergeCell ref="D549:E549"/>
    <mergeCell ref="F549:G549"/>
    <mergeCell ref="H549:I549"/>
    <mergeCell ref="J549:K549"/>
    <mergeCell ref="B552:C552"/>
    <mergeCell ref="D552:E552"/>
    <mergeCell ref="F552:G552"/>
    <mergeCell ref="H552:I552"/>
    <mergeCell ref="J552:K552"/>
    <mergeCell ref="B551:C551"/>
    <mergeCell ref="D551:E551"/>
    <mergeCell ref="F551:G551"/>
    <mergeCell ref="H551:I551"/>
    <mergeCell ref="J551:K551"/>
    <mergeCell ref="B546:C546"/>
    <mergeCell ref="D546:E546"/>
    <mergeCell ref="F546:G546"/>
    <mergeCell ref="H546:I546"/>
    <mergeCell ref="J546:K546"/>
    <mergeCell ref="B553:C553"/>
    <mergeCell ref="D553:E553"/>
    <mergeCell ref="F553:G553"/>
    <mergeCell ref="H553:I553"/>
    <mergeCell ref="J553:K553"/>
    <mergeCell ref="B556:C556"/>
    <mergeCell ref="D556:E556"/>
    <mergeCell ref="F556:G556"/>
    <mergeCell ref="H556:I556"/>
    <mergeCell ref="J556:K556"/>
    <mergeCell ref="B555:C555"/>
    <mergeCell ref="D555:E555"/>
    <mergeCell ref="F555:G555"/>
    <mergeCell ref="H555:I555"/>
    <mergeCell ref="J555:K555"/>
    <mergeCell ref="B550:C550"/>
    <mergeCell ref="D550:E550"/>
    <mergeCell ref="F550:G550"/>
    <mergeCell ref="H550:I550"/>
    <mergeCell ref="J550:K550"/>
    <mergeCell ref="B557:C557"/>
    <mergeCell ref="D557:E557"/>
    <mergeCell ref="F557:G557"/>
    <mergeCell ref="H557:I557"/>
    <mergeCell ref="J557:K557"/>
    <mergeCell ref="B560:C560"/>
    <mergeCell ref="D560:E560"/>
    <mergeCell ref="F560:G560"/>
    <mergeCell ref="H560:I560"/>
    <mergeCell ref="J560:K560"/>
    <mergeCell ref="B559:C559"/>
    <mergeCell ref="D559:E559"/>
    <mergeCell ref="F559:G559"/>
    <mergeCell ref="H559:I559"/>
    <mergeCell ref="J559:K559"/>
    <mergeCell ref="B554:C554"/>
    <mergeCell ref="D554:E554"/>
    <mergeCell ref="F554:G554"/>
    <mergeCell ref="H554:I554"/>
    <mergeCell ref="J554:K554"/>
    <mergeCell ref="B561:C561"/>
    <mergeCell ref="D561:E561"/>
    <mergeCell ref="F561:G561"/>
    <mergeCell ref="H561:I561"/>
    <mergeCell ref="J561:K561"/>
    <mergeCell ref="B564:C564"/>
    <mergeCell ref="D564:E564"/>
    <mergeCell ref="F564:G564"/>
    <mergeCell ref="H564:I564"/>
    <mergeCell ref="J564:K564"/>
    <mergeCell ref="B563:C563"/>
    <mergeCell ref="D563:E563"/>
    <mergeCell ref="F563:G563"/>
    <mergeCell ref="H563:I563"/>
    <mergeCell ref="J563:K563"/>
    <mergeCell ref="B558:C558"/>
    <mergeCell ref="D558:E558"/>
    <mergeCell ref="F558:G558"/>
    <mergeCell ref="H558:I558"/>
    <mergeCell ref="J558:K558"/>
    <mergeCell ref="B565:C565"/>
    <mergeCell ref="D565:E565"/>
    <mergeCell ref="F565:G565"/>
    <mergeCell ref="H565:I565"/>
    <mergeCell ref="J565:K565"/>
    <mergeCell ref="B568:C568"/>
    <mergeCell ref="D568:E568"/>
    <mergeCell ref="F568:G568"/>
    <mergeCell ref="H568:I568"/>
    <mergeCell ref="J568:K568"/>
    <mergeCell ref="B567:C567"/>
    <mergeCell ref="D567:E567"/>
    <mergeCell ref="F567:G567"/>
    <mergeCell ref="H567:I567"/>
    <mergeCell ref="J567:K567"/>
    <mergeCell ref="B562:C562"/>
    <mergeCell ref="D562:E562"/>
    <mergeCell ref="F562:G562"/>
    <mergeCell ref="H562:I562"/>
    <mergeCell ref="J562:K562"/>
    <mergeCell ref="B569:C569"/>
    <mergeCell ref="D569:E569"/>
    <mergeCell ref="F569:G569"/>
    <mergeCell ref="H569:I569"/>
    <mergeCell ref="J569:K569"/>
    <mergeCell ref="B572:C572"/>
    <mergeCell ref="D572:E572"/>
    <mergeCell ref="F572:G572"/>
    <mergeCell ref="H572:I572"/>
    <mergeCell ref="J572:K572"/>
    <mergeCell ref="B571:C571"/>
    <mergeCell ref="D571:E571"/>
    <mergeCell ref="F571:G571"/>
    <mergeCell ref="H571:I571"/>
    <mergeCell ref="J571:K571"/>
    <mergeCell ref="B566:C566"/>
    <mergeCell ref="D566:E566"/>
    <mergeCell ref="F566:G566"/>
    <mergeCell ref="H566:I566"/>
    <mergeCell ref="J566:K566"/>
    <mergeCell ref="B573:C573"/>
    <mergeCell ref="D573:E573"/>
    <mergeCell ref="F573:G573"/>
    <mergeCell ref="H573:I573"/>
    <mergeCell ref="J573:K573"/>
    <mergeCell ref="B581:C581"/>
    <mergeCell ref="D581:E581"/>
    <mergeCell ref="F581:G581"/>
    <mergeCell ref="H581:I581"/>
    <mergeCell ref="J581:K581"/>
    <mergeCell ref="B580:C580"/>
    <mergeCell ref="D580:E580"/>
    <mergeCell ref="F580:G580"/>
    <mergeCell ref="H580:I580"/>
    <mergeCell ref="J580:K580"/>
    <mergeCell ref="B570:C570"/>
    <mergeCell ref="D570:E570"/>
    <mergeCell ref="F570:G570"/>
    <mergeCell ref="H570:I570"/>
    <mergeCell ref="J570:K570"/>
    <mergeCell ref="B585:C585"/>
    <mergeCell ref="D585:E585"/>
    <mergeCell ref="F585:G585"/>
    <mergeCell ref="H585:I585"/>
    <mergeCell ref="J585:K585"/>
    <mergeCell ref="B588:C588"/>
    <mergeCell ref="D588:E588"/>
    <mergeCell ref="F588:G588"/>
    <mergeCell ref="H588:I588"/>
    <mergeCell ref="J588:K588"/>
    <mergeCell ref="B587:C587"/>
    <mergeCell ref="D587:E587"/>
    <mergeCell ref="F587:G587"/>
    <mergeCell ref="H587:I587"/>
    <mergeCell ref="J587:K587"/>
    <mergeCell ref="B574:C574"/>
    <mergeCell ref="D574:E574"/>
    <mergeCell ref="F574:G574"/>
    <mergeCell ref="H574:I574"/>
    <mergeCell ref="J574:K574"/>
    <mergeCell ref="B589:C589"/>
    <mergeCell ref="D589:E589"/>
    <mergeCell ref="F589:G589"/>
    <mergeCell ref="H589:I589"/>
    <mergeCell ref="J589:K589"/>
    <mergeCell ref="B592:C592"/>
    <mergeCell ref="D592:E592"/>
    <mergeCell ref="F592:G592"/>
    <mergeCell ref="H592:I592"/>
    <mergeCell ref="J592:K592"/>
    <mergeCell ref="B591:C591"/>
    <mergeCell ref="D591:E591"/>
    <mergeCell ref="F591:G591"/>
    <mergeCell ref="H591:I591"/>
    <mergeCell ref="J591:K591"/>
    <mergeCell ref="B586:C586"/>
    <mergeCell ref="D586:E586"/>
    <mergeCell ref="F586:G586"/>
    <mergeCell ref="H586:I586"/>
    <mergeCell ref="J586:K586"/>
    <mergeCell ref="B593:C593"/>
    <mergeCell ref="D593:E593"/>
    <mergeCell ref="F593:G593"/>
    <mergeCell ref="H593:I593"/>
    <mergeCell ref="J593:K593"/>
    <mergeCell ref="B596:C596"/>
    <mergeCell ref="D596:E596"/>
    <mergeCell ref="F596:G596"/>
    <mergeCell ref="H596:I596"/>
    <mergeCell ref="J596:K596"/>
    <mergeCell ref="B595:C595"/>
    <mergeCell ref="D595:E595"/>
    <mergeCell ref="F595:G595"/>
    <mergeCell ref="H595:I595"/>
    <mergeCell ref="J595:K595"/>
    <mergeCell ref="B590:C590"/>
    <mergeCell ref="D590:E590"/>
    <mergeCell ref="F590:G590"/>
    <mergeCell ref="H590:I590"/>
    <mergeCell ref="J590:K590"/>
    <mergeCell ref="B597:C597"/>
    <mergeCell ref="D597:E597"/>
    <mergeCell ref="F597:G597"/>
    <mergeCell ref="H597:I597"/>
    <mergeCell ref="J597:K597"/>
    <mergeCell ref="B600:C600"/>
    <mergeCell ref="D600:E600"/>
    <mergeCell ref="F600:G600"/>
    <mergeCell ref="H600:I600"/>
    <mergeCell ref="J600:K600"/>
    <mergeCell ref="B599:C599"/>
    <mergeCell ref="D599:E599"/>
    <mergeCell ref="F599:G599"/>
    <mergeCell ref="H599:I599"/>
    <mergeCell ref="J599:K599"/>
    <mergeCell ref="B594:C594"/>
    <mergeCell ref="D594:E594"/>
    <mergeCell ref="F594:G594"/>
    <mergeCell ref="H594:I594"/>
    <mergeCell ref="J594:K594"/>
    <mergeCell ref="B601:C601"/>
    <mergeCell ref="D601:E601"/>
    <mergeCell ref="F601:G601"/>
    <mergeCell ref="H601:I601"/>
    <mergeCell ref="J601:K601"/>
    <mergeCell ref="B604:C604"/>
    <mergeCell ref="D604:E604"/>
    <mergeCell ref="F604:G604"/>
    <mergeCell ref="H604:I604"/>
    <mergeCell ref="J604:K604"/>
    <mergeCell ref="B603:C603"/>
    <mergeCell ref="D603:E603"/>
    <mergeCell ref="F603:G603"/>
    <mergeCell ref="H603:I603"/>
    <mergeCell ref="J603:K603"/>
    <mergeCell ref="B598:C598"/>
    <mergeCell ref="D598:E598"/>
    <mergeCell ref="F598:G598"/>
    <mergeCell ref="H598:I598"/>
    <mergeCell ref="J598:K598"/>
    <mergeCell ref="B605:C605"/>
    <mergeCell ref="D605:E605"/>
    <mergeCell ref="F605:G605"/>
    <mergeCell ref="H605:I605"/>
    <mergeCell ref="J605:K605"/>
    <mergeCell ref="B608:C608"/>
    <mergeCell ref="D608:E608"/>
    <mergeCell ref="F608:G608"/>
    <mergeCell ref="H608:I608"/>
    <mergeCell ref="J608:K608"/>
    <mergeCell ref="B607:C607"/>
    <mergeCell ref="D607:E607"/>
    <mergeCell ref="F607:G607"/>
    <mergeCell ref="H607:I607"/>
    <mergeCell ref="J607:K607"/>
    <mergeCell ref="B602:C602"/>
    <mergeCell ref="D602:E602"/>
    <mergeCell ref="F602:G602"/>
    <mergeCell ref="H602:I602"/>
    <mergeCell ref="J602:K602"/>
    <mergeCell ref="B609:C609"/>
    <mergeCell ref="D609:E609"/>
    <mergeCell ref="F609:G609"/>
    <mergeCell ref="H609:I609"/>
    <mergeCell ref="J609:K609"/>
    <mergeCell ref="B612:C612"/>
    <mergeCell ref="D612:E612"/>
    <mergeCell ref="F612:G612"/>
    <mergeCell ref="H612:I612"/>
    <mergeCell ref="J612:K612"/>
    <mergeCell ref="B611:C611"/>
    <mergeCell ref="D611:E611"/>
    <mergeCell ref="F611:G611"/>
    <mergeCell ref="H611:I611"/>
    <mergeCell ref="J611:K611"/>
    <mergeCell ref="B606:C606"/>
    <mergeCell ref="D606:E606"/>
    <mergeCell ref="F606:G606"/>
    <mergeCell ref="H606:I606"/>
    <mergeCell ref="J606:K606"/>
    <mergeCell ref="B614:C614"/>
    <mergeCell ref="D614:E614"/>
    <mergeCell ref="F614:G614"/>
    <mergeCell ref="H614:I614"/>
    <mergeCell ref="J614:K614"/>
    <mergeCell ref="B613:C613"/>
    <mergeCell ref="D613:E613"/>
    <mergeCell ref="F613:G613"/>
    <mergeCell ref="H613:I613"/>
    <mergeCell ref="J613:K613"/>
    <mergeCell ref="B615:C615"/>
    <mergeCell ref="D615:E615"/>
    <mergeCell ref="F615:G615"/>
    <mergeCell ref="H615:I615"/>
    <mergeCell ref="J615:K615"/>
    <mergeCell ref="B610:C610"/>
    <mergeCell ref="D610:E610"/>
    <mergeCell ref="F610:G610"/>
    <mergeCell ref="H610:I610"/>
    <mergeCell ref="J610:K610"/>
    <mergeCell ref="B626:C626"/>
    <mergeCell ref="D626:E626"/>
    <mergeCell ref="F626:G626"/>
    <mergeCell ref="H626:I626"/>
    <mergeCell ref="J626:K626"/>
    <mergeCell ref="B622:C622"/>
    <mergeCell ref="D622:E622"/>
    <mergeCell ref="F622:G622"/>
    <mergeCell ref="H622:I622"/>
    <mergeCell ref="J622:K622"/>
    <mergeCell ref="B628:C628"/>
    <mergeCell ref="D628:E628"/>
    <mergeCell ref="F628:G628"/>
    <mergeCell ref="H628:I628"/>
    <mergeCell ref="J628:K628"/>
    <mergeCell ref="B627:C627"/>
    <mergeCell ref="D627:E627"/>
    <mergeCell ref="F627:G627"/>
    <mergeCell ref="H627:I627"/>
    <mergeCell ref="J627:K627"/>
    <mergeCell ref="B630:C630"/>
    <mergeCell ref="D630:E630"/>
    <mergeCell ref="F630:G630"/>
    <mergeCell ref="H630:I630"/>
    <mergeCell ref="J630:K630"/>
    <mergeCell ref="B629:C629"/>
    <mergeCell ref="D629:E629"/>
    <mergeCell ref="F629:G629"/>
    <mergeCell ref="H629:I629"/>
    <mergeCell ref="J629:K629"/>
    <mergeCell ref="B632:C632"/>
    <mergeCell ref="D632:E632"/>
    <mergeCell ref="F632:G632"/>
    <mergeCell ref="H632:I632"/>
    <mergeCell ref="J632:K632"/>
    <mergeCell ref="B631:C631"/>
    <mergeCell ref="D631:E631"/>
    <mergeCell ref="F631:G631"/>
    <mergeCell ref="H631:I631"/>
    <mergeCell ref="J631:K631"/>
    <mergeCell ref="B634:C634"/>
    <mergeCell ref="D634:E634"/>
    <mergeCell ref="F634:G634"/>
    <mergeCell ref="H634:I634"/>
    <mergeCell ref="J634:K634"/>
    <mergeCell ref="B633:C633"/>
    <mergeCell ref="D633:E633"/>
    <mergeCell ref="F633:G633"/>
    <mergeCell ref="H633:I633"/>
    <mergeCell ref="J633:K633"/>
    <mergeCell ref="B636:C636"/>
    <mergeCell ref="D636:E636"/>
    <mergeCell ref="F636:G636"/>
    <mergeCell ref="H636:I636"/>
    <mergeCell ref="J636:K636"/>
    <mergeCell ref="B635:C635"/>
    <mergeCell ref="D635:E635"/>
    <mergeCell ref="F635:G635"/>
    <mergeCell ref="H635:I635"/>
    <mergeCell ref="J635:K635"/>
    <mergeCell ref="B638:C638"/>
    <mergeCell ref="D638:E638"/>
    <mergeCell ref="F638:G638"/>
    <mergeCell ref="H638:I638"/>
    <mergeCell ref="J638:K638"/>
    <mergeCell ref="B637:C637"/>
    <mergeCell ref="D637:E637"/>
    <mergeCell ref="F637:G637"/>
    <mergeCell ref="H637:I637"/>
    <mergeCell ref="J637:K637"/>
    <mergeCell ref="B640:C640"/>
    <mergeCell ref="D640:E640"/>
    <mergeCell ref="F640:G640"/>
    <mergeCell ref="H640:I640"/>
    <mergeCell ref="J640:K640"/>
    <mergeCell ref="B639:C639"/>
    <mergeCell ref="D639:E639"/>
    <mergeCell ref="F639:G639"/>
    <mergeCell ref="H639:I639"/>
    <mergeCell ref="J639:K639"/>
    <mergeCell ref="B642:C642"/>
    <mergeCell ref="D642:E642"/>
    <mergeCell ref="F642:G642"/>
    <mergeCell ref="H642:I642"/>
    <mergeCell ref="J642:K642"/>
    <mergeCell ref="B641:C641"/>
    <mergeCell ref="D641:E641"/>
    <mergeCell ref="F641:G641"/>
    <mergeCell ref="H641:I641"/>
    <mergeCell ref="J641:K641"/>
    <mergeCell ref="B644:C644"/>
    <mergeCell ref="D644:E644"/>
    <mergeCell ref="F644:G644"/>
    <mergeCell ref="H644:I644"/>
    <mergeCell ref="J644:K644"/>
    <mergeCell ref="B643:C643"/>
    <mergeCell ref="D643:E643"/>
    <mergeCell ref="F643:G643"/>
    <mergeCell ref="H643:I643"/>
    <mergeCell ref="J643:K643"/>
    <mergeCell ref="B646:C646"/>
    <mergeCell ref="D646:E646"/>
    <mergeCell ref="F646:G646"/>
    <mergeCell ref="H646:I646"/>
    <mergeCell ref="J646:K646"/>
    <mergeCell ref="B645:C645"/>
    <mergeCell ref="D645:E645"/>
    <mergeCell ref="F645:G645"/>
    <mergeCell ref="H645:I645"/>
    <mergeCell ref="J645:K645"/>
    <mergeCell ref="B648:C648"/>
    <mergeCell ref="D648:E648"/>
    <mergeCell ref="F648:G648"/>
    <mergeCell ref="H648:I648"/>
    <mergeCell ref="J648:K648"/>
    <mergeCell ref="B647:C647"/>
    <mergeCell ref="D647:E647"/>
    <mergeCell ref="F647:G647"/>
    <mergeCell ref="H647:I647"/>
    <mergeCell ref="J647:K647"/>
    <mergeCell ref="B650:C650"/>
    <mergeCell ref="D650:E650"/>
    <mergeCell ref="F650:G650"/>
    <mergeCell ref="H650:I650"/>
    <mergeCell ref="J650:K650"/>
    <mergeCell ref="B649:C649"/>
    <mergeCell ref="D649:E649"/>
    <mergeCell ref="F649:G649"/>
    <mergeCell ref="H649:I649"/>
    <mergeCell ref="J649:K649"/>
    <mergeCell ref="B652:C652"/>
    <mergeCell ref="D652:E652"/>
    <mergeCell ref="F652:G652"/>
    <mergeCell ref="H652:I652"/>
    <mergeCell ref="J652:K652"/>
    <mergeCell ref="B651:C651"/>
    <mergeCell ref="D651:E651"/>
    <mergeCell ref="F651:G651"/>
    <mergeCell ref="H651:I651"/>
    <mergeCell ref="J651:K651"/>
    <mergeCell ref="B654:C654"/>
    <mergeCell ref="D654:E654"/>
    <mergeCell ref="F654:G654"/>
    <mergeCell ref="H654:I654"/>
    <mergeCell ref="J654:K654"/>
    <mergeCell ref="B653:C653"/>
    <mergeCell ref="D653:E653"/>
    <mergeCell ref="F653:G653"/>
    <mergeCell ref="H653:I653"/>
    <mergeCell ref="J653:K653"/>
    <mergeCell ref="B656:C656"/>
    <mergeCell ref="D656:E656"/>
    <mergeCell ref="F656:G656"/>
    <mergeCell ref="H656:I656"/>
    <mergeCell ref="J656:K656"/>
    <mergeCell ref="B655:C655"/>
    <mergeCell ref="D655:E655"/>
    <mergeCell ref="F655:G655"/>
    <mergeCell ref="H655:I655"/>
    <mergeCell ref="J655:K655"/>
    <mergeCell ref="B663:C663"/>
    <mergeCell ref="D663:E663"/>
    <mergeCell ref="F663:G663"/>
    <mergeCell ref="H663:I663"/>
    <mergeCell ref="J663:K663"/>
    <mergeCell ref="B662:C662"/>
    <mergeCell ref="D662:E662"/>
    <mergeCell ref="F662:G662"/>
    <mergeCell ref="H662:I662"/>
    <mergeCell ref="J662:K662"/>
    <mergeCell ref="B668:C668"/>
    <mergeCell ref="D668:E668"/>
    <mergeCell ref="F668:G668"/>
    <mergeCell ref="H668:I668"/>
    <mergeCell ref="J668:K668"/>
    <mergeCell ref="B667:C667"/>
    <mergeCell ref="D667:E667"/>
    <mergeCell ref="F667:G667"/>
    <mergeCell ref="H667:I667"/>
    <mergeCell ref="J667:K667"/>
    <mergeCell ref="B670:C670"/>
    <mergeCell ref="D670:E670"/>
    <mergeCell ref="F670:G670"/>
    <mergeCell ref="H670:I670"/>
    <mergeCell ref="J670:K670"/>
    <mergeCell ref="B669:C669"/>
    <mergeCell ref="D669:E669"/>
    <mergeCell ref="F669:G669"/>
    <mergeCell ref="H669:I669"/>
    <mergeCell ref="J669:K669"/>
    <mergeCell ref="B672:C672"/>
    <mergeCell ref="D672:E672"/>
    <mergeCell ref="F672:G672"/>
    <mergeCell ref="H672:I672"/>
    <mergeCell ref="J672:K672"/>
    <mergeCell ref="B671:C671"/>
    <mergeCell ref="D671:E671"/>
    <mergeCell ref="F671:G671"/>
    <mergeCell ref="H671:I671"/>
    <mergeCell ref="J671:K671"/>
    <mergeCell ref="B674:C674"/>
    <mergeCell ref="D674:E674"/>
    <mergeCell ref="F674:G674"/>
    <mergeCell ref="H674:I674"/>
    <mergeCell ref="J674:K674"/>
    <mergeCell ref="B673:C673"/>
    <mergeCell ref="D673:E673"/>
    <mergeCell ref="F673:G673"/>
    <mergeCell ref="H673:I673"/>
    <mergeCell ref="J673:K673"/>
    <mergeCell ref="B676:C676"/>
    <mergeCell ref="D676:E676"/>
    <mergeCell ref="F676:G676"/>
    <mergeCell ref="H676:I676"/>
    <mergeCell ref="J676:K676"/>
    <mergeCell ref="B675:C675"/>
    <mergeCell ref="D675:E675"/>
    <mergeCell ref="F675:G675"/>
    <mergeCell ref="H675:I675"/>
    <mergeCell ref="J675:K675"/>
    <mergeCell ref="B678:C678"/>
    <mergeCell ref="D678:E678"/>
    <mergeCell ref="F678:G678"/>
    <mergeCell ref="H678:I678"/>
    <mergeCell ref="J678:K678"/>
    <mergeCell ref="B677:C677"/>
    <mergeCell ref="D677:E677"/>
    <mergeCell ref="F677:G677"/>
    <mergeCell ref="H677:I677"/>
    <mergeCell ref="J677:K677"/>
    <mergeCell ref="B680:C680"/>
    <mergeCell ref="D680:E680"/>
    <mergeCell ref="F680:G680"/>
    <mergeCell ref="H680:I680"/>
    <mergeCell ref="J680:K680"/>
    <mergeCell ref="B679:C679"/>
    <mergeCell ref="D679:E679"/>
    <mergeCell ref="F679:G679"/>
    <mergeCell ref="H679:I679"/>
    <mergeCell ref="J679:K679"/>
    <mergeCell ref="B682:C682"/>
    <mergeCell ref="D682:E682"/>
    <mergeCell ref="F682:G682"/>
    <mergeCell ref="H682:I682"/>
    <mergeCell ref="J682:K682"/>
    <mergeCell ref="B681:C681"/>
    <mergeCell ref="D681:E681"/>
    <mergeCell ref="F681:G681"/>
    <mergeCell ref="H681:I681"/>
    <mergeCell ref="J681:K681"/>
    <mergeCell ref="B684:C684"/>
    <mergeCell ref="D684:E684"/>
    <mergeCell ref="F684:G684"/>
    <mergeCell ref="H684:I684"/>
    <mergeCell ref="J684:K684"/>
    <mergeCell ref="B683:C683"/>
    <mergeCell ref="D683:E683"/>
    <mergeCell ref="F683:G683"/>
    <mergeCell ref="H683:I683"/>
    <mergeCell ref="J683:K683"/>
    <mergeCell ref="B686:C686"/>
    <mergeCell ref="D686:E686"/>
    <mergeCell ref="F686:G686"/>
    <mergeCell ref="H686:I686"/>
    <mergeCell ref="J686:K686"/>
    <mergeCell ref="B685:C685"/>
    <mergeCell ref="D685:E685"/>
    <mergeCell ref="F685:G685"/>
    <mergeCell ref="H685:I685"/>
    <mergeCell ref="J685:K685"/>
    <mergeCell ref="B688:C688"/>
    <mergeCell ref="D688:E688"/>
    <mergeCell ref="F688:G688"/>
    <mergeCell ref="H688:I688"/>
    <mergeCell ref="J688:K688"/>
    <mergeCell ref="B687:C687"/>
    <mergeCell ref="D687:E687"/>
    <mergeCell ref="F687:G687"/>
    <mergeCell ref="H687:I687"/>
    <mergeCell ref="J687:K687"/>
    <mergeCell ref="B690:C690"/>
    <mergeCell ref="D690:E690"/>
    <mergeCell ref="F690:G690"/>
    <mergeCell ref="H690:I690"/>
    <mergeCell ref="J690:K690"/>
    <mergeCell ref="B689:C689"/>
    <mergeCell ref="D689:E689"/>
    <mergeCell ref="F689:G689"/>
    <mergeCell ref="H689:I689"/>
    <mergeCell ref="J689:K689"/>
    <mergeCell ref="B692:C692"/>
    <mergeCell ref="D692:E692"/>
    <mergeCell ref="F692:G692"/>
    <mergeCell ref="H692:I692"/>
    <mergeCell ref="J692:K692"/>
    <mergeCell ref="B691:C691"/>
    <mergeCell ref="D691:E691"/>
    <mergeCell ref="F691:G691"/>
    <mergeCell ref="H691:I691"/>
    <mergeCell ref="J691:K691"/>
    <mergeCell ref="B694:C694"/>
    <mergeCell ref="D694:E694"/>
    <mergeCell ref="F694:G694"/>
    <mergeCell ref="H694:I694"/>
    <mergeCell ref="J694:K694"/>
    <mergeCell ref="B693:C693"/>
    <mergeCell ref="D693:E693"/>
    <mergeCell ref="F693:G693"/>
    <mergeCell ref="H693:I693"/>
    <mergeCell ref="J693:K693"/>
    <mergeCell ref="B696:C696"/>
    <mergeCell ref="D696:E696"/>
    <mergeCell ref="F696:G696"/>
    <mergeCell ref="H696:I696"/>
    <mergeCell ref="J696:K696"/>
    <mergeCell ref="B695:C695"/>
    <mergeCell ref="D695:E695"/>
    <mergeCell ref="F695:G695"/>
    <mergeCell ref="H695:I695"/>
    <mergeCell ref="J695:K695"/>
    <mergeCell ref="B703:C703"/>
    <mergeCell ref="D703:E703"/>
    <mergeCell ref="F703:G703"/>
    <mergeCell ref="H703:I703"/>
    <mergeCell ref="J703:K703"/>
    <mergeCell ref="B697:C697"/>
    <mergeCell ref="D697:E697"/>
    <mergeCell ref="F697:G697"/>
    <mergeCell ref="H697:I697"/>
    <mergeCell ref="J697:K697"/>
    <mergeCell ref="B708:C708"/>
    <mergeCell ref="D708:E708"/>
    <mergeCell ref="F708:G708"/>
    <mergeCell ref="H708:I708"/>
    <mergeCell ref="J708:K708"/>
    <mergeCell ref="B704:C704"/>
    <mergeCell ref="D704:E704"/>
    <mergeCell ref="F704:G704"/>
    <mergeCell ref="H704:I704"/>
    <mergeCell ref="J704:K704"/>
    <mergeCell ref="B710:C710"/>
    <mergeCell ref="D710:E710"/>
    <mergeCell ref="F710:G710"/>
    <mergeCell ref="H710:I710"/>
    <mergeCell ref="J710:K710"/>
    <mergeCell ref="B709:C709"/>
    <mergeCell ref="D709:E709"/>
    <mergeCell ref="F709:G709"/>
    <mergeCell ref="H709:I709"/>
    <mergeCell ref="J709:K709"/>
    <mergeCell ref="B712:C712"/>
    <mergeCell ref="D712:E712"/>
    <mergeCell ref="F712:G712"/>
    <mergeCell ref="H712:I712"/>
    <mergeCell ref="J712:K712"/>
    <mergeCell ref="B711:C711"/>
    <mergeCell ref="D711:E711"/>
    <mergeCell ref="F711:G711"/>
    <mergeCell ref="H711:I711"/>
    <mergeCell ref="J711:K711"/>
    <mergeCell ref="B714:C714"/>
    <mergeCell ref="D714:E714"/>
    <mergeCell ref="F714:G714"/>
    <mergeCell ref="H714:I714"/>
    <mergeCell ref="J714:K714"/>
    <mergeCell ref="B713:C713"/>
    <mergeCell ref="D713:E713"/>
    <mergeCell ref="F713:G713"/>
    <mergeCell ref="H713:I713"/>
    <mergeCell ref="J713:K713"/>
    <mergeCell ref="B716:C716"/>
    <mergeCell ref="D716:E716"/>
    <mergeCell ref="F716:G716"/>
    <mergeCell ref="H716:I716"/>
    <mergeCell ref="J716:K716"/>
    <mergeCell ref="B715:C715"/>
    <mergeCell ref="D715:E715"/>
    <mergeCell ref="F715:G715"/>
    <mergeCell ref="H715:I715"/>
    <mergeCell ref="J715:K715"/>
    <mergeCell ref="B718:C718"/>
    <mergeCell ref="D718:E718"/>
    <mergeCell ref="F718:G718"/>
    <mergeCell ref="H718:I718"/>
    <mergeCell ref="J718:K718"/>
    <mergeCell ref="B717:C717"/>
    <mergeCell ref="D717:E717"/>
    <mergeCell ref="F717:G717"/>
    <mergeCell ref="H717:I717"/>
    <mergeCell ref="J717:K717"/>
    <mergeCell ref="B720:C720"/>
    <mergeCell ref="D720:E720"/>
    <mergeCell ref="F720:G720"/>
    <mergeCell ref="H720:I720"/>
    <mergeCell ref="J720:K720"/>
    <mergeCell ref="B719:C719"/>
    <mergeCell ref="D719:E719"/>
    <mergeCell ref="F719:G719"/>
    <mergeCell ref="H719:I719"/>
    <mergeCell ref="J719:K719"/>
    <mergeCell ref="B722:C722"/>
    <mergeCell ref="D722:E722"/>
    <mergeCell ref="F722:G722"/>
    <mergeCell ref="H722:I722"/>
    <mergeCell ref="J722:K722"/>
    <mergeCell ref="B721:C721"/>
    <mergeCell ref="D721:E721"/>
    <mergeCell ref="F721:G721"/>
    <mergeCell ref="H721:I721"/>
    <mergeCell ref="J721:K721"/>
    <mergeCell ref="B724:C724"/>
    <mergeCell ref="D724:E724"/>
    <mergeCell ref="F724:G724"/>
    <mergeCell ref="H724:I724"/>
    <mergeCell ref="J724:K724"/>
    <mergeCell ref="B723:C723"/>
    <mergeCell ref="D723:E723"/>
    <mergeCell ref="F723:G723"/>
    <mergeCell ref="H723:I723"/>
    <mergeCell ref="J723:K723"/>
    <mergeCell ref="B726:C726"/>
    <mergeCell ref="D726:E726"/>
    <mergeCell ref="F726:G726"/>
    <mergeCell ref="H726:I726"/>
    <mergeCell ref="J726:K726"/>
    <mergeCell ref="B725:C725"/>
    <mergeCell ref="D725:E725"/>
    <mergeCell ref="F725:G725"/>
    <mergeCell ref="H725:I725"/>
    <mergeCell ref="J725:K725"/>
    <mergeCell ref="B728:C728"/>
    <mergeCell ref="D728:E728"/>
    <mergeCell ref="F728:G728"/>
    <mergeCell ref="H728:I728"/>
    <mergeCell ref="J728:K728"/>
    <mergeCell ref="B727:C727"/>
    <mergeCell ref="D727:E727"/>
    <mergeCell ref="F727:G727"/>
    <mergeCell ref="H727:I727"/>
    <mergeCell ref="J727:K727"/>
    <mergeCell ref="B730:C730"/>
    <mergeCell ref="D730:E730"/>
    <mergeCell ref="F730:G730"/>
    <mergeCell ref="H730:I730"/>
    <mergeCell ref="J730:K730"/>
    <mergeCell ref="B729:C729"/>
    <mergeCell ref="D729:E729"/>
    <mergeCell ref="F729:G729"/>
    <mergeCell ref="H729:I729"/>
    <mergeCell ref="J729:K729"/>
    <mergeCell ref="B732:C732"/>
    <mergeCell ref="D732:E732"/>
    <mergeCell ref="F732:G732"/>
    <mergeCell ref="H732:I732"/>
    <mergeCell ref="J732:K732"/>
    <mergeCell ref="B731:C731"/>
    <mergeCell ref="D731:E731"/>
    <mergeCell ref="F731:G731"/>
    <mergeCell ref="H731:I731"/>
    <mergeCell ref="J731:K731"/>
    <mergeCell ref="B734:C734"/>
    <mergeCell ref="D734:E734"/>
    <mergeCell ref="F734:G734"/>
    <mergeCell ref="H734:I734"/>
    <mergeCell ref="J734:K734"/>
    <mergeCell ref="B733:C733"/>
    <mergeCell ref="D733:E733"/>
    <mergeCell ref="F733:G733"/>
    <mergeCell ref="H733:I733"/>
    <mergeCell ref="J733:K733"/>
    <mergeCell ref="B736:C736"/>
    <mergeCell ref="D736:E736"/>
    <mergeCell ref="F736:G736"/>
    <mergeCell ref="H736:I736"/>
    <mergeCell ref="J736:K736"/>
    <mergeCell ref="B735:C735"/>
    <mergeCell ref="D735:E735"/>
    <mergeCell ref="F735:G735"/>
    <mergeCell ref="H735:I735"/>
    <mergeCell ref="J735:K735"/>
    <mergeCell ref="B738:C738"/>
    <mergeCell ref="D738:E738"/>
    <mergeCell ref="F738:G738"/>
    <mergeCell ref="H738:I738"/>
    <mergeCell ref="J738:K738"/>
    <mergeCell ref="B737:C737"/>
    <mergeCell ref="D737:E737"/>
    <mergeCell ref="F737:G737"/>
    <mergeCell ref="H737:I737"/>
    <mergeCell ref="J737:K737"/>
    <mergeCell ref="B745:C745"/>
    <mergeCell ref="D745:E745"/>
    <mergeCell ref="F745:G745"/>
    <mergeCell ref="H745:I745"/>
    <mergeCell ref="J745:K745"/>
    <mergeCell ref="B744:C744"/>
    <mergeCell ref="D744:E744"/>
    <mergeCell ref="F744:G744"/>
    <mergeCell ref="H744:I744"/>
    <mergeCell ref="J744:K744"/>
    <mergeCell ref="B750:C750"/>
    <mergeCell ref="D750:E750"/>
    <mergeCell ref="F750:G750"/>
    <mergeCell ref="H750:I750"/>
    <mergeCell ref="J750:K750"/>
    <mergeCell ref="B749:C749"/>
    <mergeCell ref="D749:E749"/>
    <mergeCell ref="F749:G749"/>
    <mergeCell ref="H749:I749"/>
    <mergeCell ref="J749:K749"/>
    <mergeCell ref="B752:C752"/>
    <mergeCell ref="D752:E752"/>
    <mergeCell ref="F752:G752"/>
    <mergeCell ref="H752:I752"/>
    <mergeCell ref="J752:K752"/>
    <mergeCell ref="B751:C751"/>
    <mergeCell ref="D751:E751"/>
    <mergeCell ref="F751:G751"/>
    <mergeCell ref="H751:I751"/>
    <mergeCell ref="J751:K751"/>
    <mergeCell ref="B754:C754"/>
    <mergeCell ref="D754:E754"/>
    <mergeCell ref="F754:G754"/>
    <mergeCell ref="H754:I754"/>
    <mergeCell ref="J754:K754"/>
    <mergeCell ref="B753:C753"/>
    <mergeCell ref="D753:E753"/>
    <mergeCell ref="F753:G753"/>
    <mergeCell ref="H753:I753"/>
    <mergeCell ref="J753:K753"/>
    <mergeCell ref="B756:C756"/>
    <mergeCell ref="D756:E756"/>
    <mergeCell ref="F756:G756"/>
    <mergeCell ref="H756:I756"/>
    <mergeCell ref="J756:K756"/>
    <mergeCell ref="B755:C755"/>
    <mergeCell ref="D755:E755"/>
    <mergeCell ref="F755:G755"/>
    <mergeCell ref="H755:I755"/>
    <mergeCell ref="J755:K755"/>
    <mergeCell ref="B758:C758"/>
    <mergeCell ref="D758:E758"/>
    <mergeCell ref="F758:G758"/>
    <mergeCell ref="H758:I758"/>
    <mergeCell ref="J758:K758"/>
    <mergeCell ref="B757:C757"/>
    <mergeCell ref="D757:E757"/>
    <mergeCell ref="F757:G757"/>
    <mergeCell ref="H757:I757"/>
    <mergeCell ref="J757:K757"/>
    <mergeCell ref="B760:C760"/>
    <mergeCell ref="D760:E760"/>
    <mergeCell ref="F760:G760"/>
    <mergeCell ref="H760:I760"/>
    <mergeCell ref="J760:K760"/>
    <mergeCell ref="B759:C759"/>
    <mergeCell ref="D759:E759"/>
    <mergeCell ref="F759:G759"/>
    <mergeCell ref="H759:I759"/>
    <mergeCell ref="J759:K759"/>
    <mergeCell ref="B762:C762"/>
    <mergeCell ref="D762:E762"/>
    <mergeCell ref="F762:G762"/>
    <mergeCell ref="H762:I762"/>
    <mergeCell ref="J762:K762"/>
    <mergeCell ref="B761:C761"/>
    <mergeCell ref="D761:E761"/>
    <mergeCell ref="F761:G761"/>
    <mergeCell ref="H761:I761"/>
    <mergeCell ref="J761:K761"/>
    <mergeCell ref="B764:C764"/>
    <mergeCell ref="D764:E764"/>
    <mergeCell ref="F764:G764"/>
    <mergeCell ref="H764:I764"/>
    <mergeCell ref="J764:K764"/>
    <mergeCell ref="B763:C763"/>
    <mergeCell ref="D763:E763"/>
    <mergeCell ref="F763:G763"/>
    <mergeCell ref="H763:I763"/>
    <mergeCell ref="J763:K763"/>
    <mergeCell ref="B766:C766"/>
    <mergeCell ref="D766:E766"/>
    <mergeCell ref="F766:G766"/>
    <mergeCell ref="H766:I766"/>
    <mergeCell ref="J766:K766"/>
    <mergeCell ref="B765:C765"/>
    <mergeCell ref="D765:E765"/>
    <mergeCell ref="F765:G765"/>
    <mergeCell ref="H765:I765"/>
    <mergeCell ref="J765:K765"/>
    <mergeCell ref="B768:C768"/>
    <mergeCell ref="D768:E768"/>
    <mergeCell ref="F768:G768"/>
    <mergeCell ref="H768:I768"/>
    <mergeCell ref="J768:K768"/>
    <mergeCell ref="B767:C767"/>
    <mergeCell ref="D767:E767"/>
    <mergeCell ref="F767:G767"/>
    <mergeCell ref="H767:I767"/>
    <mergeCell ref="J767:K767"/>
    <mergeCell ref="B770:C770"/>
    <mergeCell ref="D770:E770"/>
    <mergeCell ref="F770:G770"/>
    <mergeCell ref="H770:I770"/>
    <mergeCell ref="J770:K770"/>
    <mergeCell ref="B769:C769"/>
    <mergeCell ref="D769:E769"/>
    <mergeCell ref="F769:G769"/>
    <mergeCell ref="H769:I769"/>
    <mergeCell ref="J769:K769"/>
    <mergeCell ref="B772:C772"/>
    <mergeCell ref="D772:E772"/>
    <mergeCell ref="F772:G772"/>
    <mergeCell ref="H772:I772"/>
    <mergeCell ref="J772:K772"/>
    <mergeCell ref="B771:C771"/>
    <mergeCell ref="D771:E771"/>
    <mergeCell ref="F771:G771"/>
    <mergeCell ref="H771:I771"/>
    <mergeCell ref="J771:K771"/>
    <mergeCell ref="B774:C774"/>
    <mergeCell ref="D774:E774"/>
    <mergeCell ref="F774:G774"/>
    <mergeCell ref="H774:I774"/>
    <mergeCell ref="J774:K774"/>
    <mergeCell ref="B773:C773"/>
    <mergeCell ref="D773:E773"/>
    <mergeCell ref="F773:G773"/>
    <mergeCell ref="H773:I773"/>
    <mergeCell ref="J773:K773"/>
    <mergeCell ref="B776:C776"/>
    <mergeCell ref="D776:E776"/>
    <mergeCell ref="F776:G776"/>
    <mergeCell ref="H776:I776"/>
    <mergeCell ref="J776:K776"/>
    <mergeCell ref="B775:C775"/>
    <mergeCell ref="D775:E775"/>
    <mergeCell ref="F775:G775"/>
    <mergeCell ref="H775:I775"/>
    <mergeCell ref="J775:K775"/>
    <mergeCell ref="B778:C778"/>
    <mergeCell ref="D778:E778"/>
    <mergeCell ref="F778:G778"/>
    <mergeCell ref="H778:I778"/>
    <mergeCell ref="J778:K778"/>
    <mergeCell ref="B777:C777"/>
    <mergeCell ref="D777:E777"/>
    <mergeCell ref="F777:G777"/>
    <mergeCell ref="H777:I777"/>
    <mergeCell ref="J777:K777"/>
    <mergeCell ref="B785:C785"/>
    <mergeCell ref="D785:E785"/>
    <mergeCell ref="F785:G785"/>
    <mergeCell ref="H785:I785"/>
    <mergeCell ref="J785:K785"/>
    <mergeCell ref="B779:C779"/>
    <mergeCell ref="D779:E779"/>
    <mergeCell ref="F779:G779"/>
    <mergeCell ref="H779:I779"/>
    <mergeCell ref="J779:K779"/>
    <mergeCell ref="B790:C790"/>
    <mergeCell ref="D790:E790"/>
    <mergeCell ref="F790:G790"/>
    <mergeCell ref="H790:I790"/>
    <mergeCell ref="J790:K790"/>
    <mergeCell ref="B786:C786"/>
    <mergeCell ref="D786:E786"/>
    <mergeCell ref="F786:G786"/>
    <mergeCell ref="H786:I786"/>
    <mergeCell ref="J786:K786"/>
    <mergeCell ref="B792:C792"/>
    <mergeCell ref="D792:E792"/>
    <mergeCell ref="F792:G792"/>
    <mergeCell ref="H792:I792"/>
    <mergeCell ref="J792:K792"/>
    <mergeCell ref="B791:C791"/>
    <mergeCell ref="D791:E791"/>
    <mergeCell ref="F791:G791"/>
    <mergeCell ref="H791:I791"/>
    <mergeCell ref="J791:K791"/>
    <mergeCell ref="B794:C794"/>
    <mergeCell ref="D794:E794"/>
    <mergeCell ref="F794:G794"/>
    <mergeCell ref="H794:I794"/>
    <mergeCell ref="J794:K794"/>
    <mergeCell ref="B793:C793"/>
    <mergeCell ref="D793:E793"/>
    <mergeCell ref="F793:G793"/>
    <mergeCell ref="H793:I793"/>
    <mergeCell ref="J793:K793"/>
    <mergeCell ref="B796:C796"/>
    <mergeCell ref="D796:E796"/>
    <mergeCell ref="F796:G796"/>
    <mergeCell ref="H796:I796"/>
    <mergeCell ref="J796:K796"/>
    <mergeCell ref="B795:C795"/>
    <mergeCell ref="D795:E795"/>
    <mergeCell ref="F795:G795"/>
    <mergeCell ref="H795:I795"/>
    <mergeCell ref="J795:K795"/>
    <mergeCell ref="B798:C798"/>
    <mergeCell ref="D798:E798"/>
    <mergeCell ref="F798:G798"/>
    <mergeCell ref="H798:I798"/>
    <mergeCell ref="J798:K798"/>
    <mergeCell ref="B797:C797"/>
    <mergeCell ref="D797:E797"/>
    <mergeCell ref="F797:G797"/>
    <mergeCell ref="H797:I797"/>
    <mergeCell ref="J797:K797"/>
    <mergeCell ref="B800:C800"/>
    <mergeCell ref="D800:E800"/>
    <mergeCell ref="F800:G800"/>
    <mergeCell ref="H800:I800"/>
    <mergeCell ref="J800:K800"/>
    <mergeCell ref="B799:C799"/>
    <mergeCell ref="D799:E799"/>
    <mergeCell ref="F799:G799"/>
    <mergeCell ref="H799:I799"/>
    <mergeCell ref="J799:K799"/>
    <mergeCell ref="B802:C802"/>
    <mergeCell ref="D802:E802"/>
    <mergeCell ref="F802:G802"/>
    <mergeCell ref="H802:I802"/>
    <mergeCell ref="J802:K802"/>
    <mergeCell ref="B801:C801"/>
    <mergeCell ref="D801:E801"/>
    <mergeCell ref="F801:G801"/>
    <mergeCell ref="H801:I801"/>
    <mergeCell ref="J801:K801"/>
    <mergeCell ref="B804:C804"/>
    <mergeCell ref="D804:E804"/>
    <mergeCell ref="F804:G804"/>
    <mergeCell ref="H804:I804"/>
    <mergeCell ref="J804:K804"/>
    <mergeCell ref="B803:C803"/>
    <mergeCell ref="D803:E803"/>
    <mergeCell ref="F803:G803"/>
    <mergeCell ref="H803:I803"/>
    <mergeCell ref="J803:K803"/>
    <mergeCell ref="B806:C806"/>
    <mergeCell ref="D806:E806"/>
    <mergeCell ref="F806:G806"/>
    <mergeCell ref="H806:I806"/>
    <mergeCell ref="J806:K806"/>
    <mergeCell ref="B805:C805"/>
    <mergeCell ref="D805:E805"/>
    <mergeCell ref="F805:G805"/>
    <mergeCell ref="H805:I805"/>
    <mergeCell ref="J805:K805"/>
    <mergeCell ref="B808:C808"/>
    <mergeCell ref="D808:E808"/>
    <mergeCell ref="F808:G808"/>
    <mergeCell ref="H808:I808"/>
    <mergeCell ref="J808:K808"/>
    <mergeCell ref="B807:C807"/>
    <mergeCell ref="D807:E807"/>
    <mergeCell ref="F807:G807"/>
    <mergeCell ref="H807:I807"/>
    <mergeCell ref="J807:K807"/>
    <mergeCell ref="B810:C810"/>
    <mergeCell ref="D810:E810"/>
    <mergeCell ref="F810:G810"/>
    <mergeCell ref="H810:I810"/>
    <mergeCell ref="J810:K810"/>
    <mergeCell ref="B809:C809"/>
    <mergeCell ref="D809:E809"/>
    <mergeCell ref="F809:G809"/>
    <mergeCell ref="H809:I809"/>
    <mergeCell ref="J809:K809"/>
    <mergeCell ref="B812:C812"/>
    <mergeCell ref="D812:E812"/>
    <mergeCell ref="F812:G812"/>
    <mergeCell ref="H812:I812"/>
    <mergeCell ref="J812:K812"/>
    <mergeCell ref="B811:C811"/>
    <mergeCell ref="D811:E811"/>
    <mergeCell ref="F811:G811"/>
    <mergeCell ref="H811:I811"/>
    <mergeCell ref="J811:K811"/>
    <mergeCell ref="B814:C814"/>
    <mergeCell ref="D814:E814"/>
    <mergeCell ref="F814:G814"/>
    <mergeCell ref="H814:I814"/>
    <mergeCell ref="J814:K814"/>
    <mergeCell ref="B813:C813"/>
    <mergeCell ref="D813:E813"/>
    <mergeCell ref="F813:G813"/>
    <mergeCell ref="H813:I813"/>
    <mergeCell ref="J813:K813"/>
    <mergeCell ref="B816:C816"/>
    <mergeCell ref="D816:E816"/>
    <mergeCell ref="F816:G816"/>
    <mergeCell ref="H816:I816"/>
    <mergeCell ref="J816:K816"/>
    <mergeCell ref="B815:C815"/>
    <mergeCell ref="D815:E815"/>
    <mergeCell ref="F815:G815"/>
    <mergeCell ref="H815:I815"/>
    <mergeCell ref="J815:K815"/>
    <mergeCell ref="B818:C818"/>
    <mergeCell ref="D818:E818"/>
    <mergeCell ref="F818:G818"/>
    <mergeCell ref="H818:I818"/>
    <mergeCell ref="J818:K818"/>
    <mergeCell ref="B817:C817"/>
    <mergeCell ref="D817:E817"/>
    <mergeCell ref="F817:G817"/>
    <mergeCell ref="H817:I817"/>
    <mergeCell ref="J817:K817"/>
    <mergeCell ref="B820:C820"/>
    <mergeCell ref="D820:E820"/>
    <mergeCell ref="F820:G820"/>
    <mergeCell ref="H820:I820"/>
    <mergeCell ref="J820:K820"/>
    <mergeCell ref="B819:C819"/>
    <mergeCell ref="D819:E819"/>
    <mergeCell ref="F819:G819"/>
    <mergeCell ref="H819:I819"/>
    <mergeCell ref="J819:K819"/>
    <mergeCell ref="B827:C827"/>
    <mergeCell ref="D827:E827"/>
    <mergeCell ref="F827:G827"/>
    <mergeCell ref="H827:I827"/>
    <mergeCell ref="J827:K827"/>
    <mergeCell ref="B826:C826"/>
    <mergeCell ref="D826:E826"/>
    <mergeCell ref="F826:G826"/>
    <mergeCell ref="H826:I826"/>
    <mergeCell ref="J826:K826"/>
    <mergeCell ref="B832:C832"/>
    <mergeCell ref="D832:E832"/>
    <mergeCell ref="F832:G832"/>
    <mergeCell ref="H832:I832"/>
    <mergeCell ref="J832:K832"/>
    <mergeCell ref="B831:C831"/>
    <mergeCell ref="D831:E831"/>
    <mergeCell ref="F831:G831"/>
    <mergeCell ref="H831:I831"/>
    <mergeCell ref="J831:K831"/>
    <mergeCell ref="B834:C834"/>
    <mergeCell ref="D834:E834"/>
    <mergeCell ref="F834:G834"/>
    <mergeCell ref="H834:I834"/>
    <mergeCell ref="J834:K834"/>
    <mergeCell ref="B833:C833"/>
    <mergeCell ref="D833:E833"/>
    <mergeCell ref="F833:G833"/>
    <mergeCell ref="H833:I833"/>
    <mergeCell ref="J833:K833"/>
    <mergeCell ref="B836:C836"/>
    <mergeCell ref="D836:E836"/>
    <mergeCell ref="F836:G836"/>
    <mergeCell ref="H836:I836"/>
    <mergeCell ref="J836:K836"/>
    <mergeCell ref="B835:C835"/>
    <mergeCell ref="D835:E835"/>
    <mergeCell ref="F835:G835"/>
    <mergeCell ref="H835:I835"/>
    <mergeCell ref="J835:K835"/>
    <mergeCell ref="B838:C838"/>
    <mergeCell ref="D838:E838"/>
    <mergeCell ref="F838:G838"/>
    <mergeCell ref="H838:I838"/>
    <mergeCell ref="J838:K838"/>
    <mergeCell ref="B837:C837"/>
    <mergeCell ref="D837:E837"/>
    <mergeCell ref="F837:G837"/>
    <mergeCell ref="H837:I837"/>
    <mergeCell ref="J837:K837"/>
    <mergeCell ref="B840:C840"/>
    <mergeCell ref="D840:E840"/>
    <mergeCell ref="F840:G840"/>
    <mergeCell ref="H840:I840"/>
    <mergeCell ref="J840:K840"/>
    <mergeCell ref="B839:C839"/>
    <mergeCell ref="D839:E839"/>
    <mergeCell ref="F839:G839"/>
    <mergeCell ref="H839:I839"/>
    <mergeCell ref="J839:K839"/>
    <mergeCell ref="B842:C842"/>
    <mergeCell ref="D842:E842"/>
    <mergeCell ref="F842:G842"/>
    <mergeCell ref="H842:I842"/>
    <mergeCell ref="J842:K842"/>
    <mergeCell ref="B841:C841"/>
    <mergeCell ref="D841:E841"/>
    <mergeCell ref="F841:G841"/>
    <mergeCell ref="H841:I841"/>
    <mergeCell ref="J841:K841"/>
    <mergeCell ref="B844:C844"/>
    <mergeCell ref="D844:E844"/>
    <mergeCell ref="F844:G844"/>
    <mergeCell ref="H844:I844"/>
    <mergeCell ref="J844:K844"/>
    <mergeCell ref="B843:C843"/>
    <mergeCell ref="D843:E843"/>
    <mergeCell ref="F843:G843"/>
    <mergeCell ref="H843:I843"/>
    <mergeCell ref="J843:K843"/>
    <mergeCell ref="B846:C846"/>
    <mergeCell ref="D846:E846"/>
    <mergeCell ref="F846:G846"/>
    <mergeCell ref="H846:I846"/>
    <mergeCell ref="J846:K846"/>
    <mergeCell ref="B845:C845"/>
    <mergeCell ref="D845:E845"/>
    <mergeCell ref="F845:G845"/>
    <mergeCell ref="H845:I845"/>
    <mergeCell ref="J845:K845"/>
    <mergeCell ref="B848:C848"/>
    <mergeCell ref="D848:E848"/>
    <mergeCell ref="F848:G848"/>
    <mergeCell ref="H848:I848"/>
    <mergeCell ref="J848:K848"/>
    <mergeCell ref="B847:C847"/>
    <mergeCell ref="D847:E847"/>
    <mergeCell ref="F847:G847"/>
    <mergeCell ref="H847:I847"/>
    <mergeCell ref="J847:K847"/>
    <mergeCell ref="B850:C850"/>
    <mergeCell ref="D850:E850"/>
    <mergeCell ref="F850:G850"/>
    <mergeCell ref="H850:I850"/>
    <mergeCell ref="J850:K850"/>
    <mergeCell ref="B849:C849"/>
    <mergeCell ref="D849:E849"/>
    <mergeCell ref="F849:G849"/>
    <mergeCell ref="H849:I849"/>
    <mergeCell ref="J849:K849"/>
    <mergeCell ref="B852:C852"/>
    <mergeCell ref="D852:E852"/>
    <mergeCell ref="F852:G852"/>
    <mergeCell ref="H852:I852"/>
    <mergeCell ref="J852:K852"/>
    <mergeCell ref="B851:C851"/>
    <mergeCell ref="D851:E851"/>
    <mergeCell ref="F851:G851"/>
    <mergeCell ref="H851:I851"/>
    <mergeCell ref="J851:K851"/>
    <mergeCell ref="B854:C854"/>
    <mergeCell ref="D854:E854"/>
    <mergeCell ref="F854:G854"/>
    <mergeCell ref="H854:I854"/>
    <mergeCell ref="J854:K854"/>
    <mergeCell ref="B853:C853"/>
    <mergeCell ref="D853:E853"/>
    <mergeCell ref="F853:G853"/>
    <mergeCell ref="H853:I853"/>
    <mergeCell ref="J853:K853"/>
    <mergeCell ref="B856:C856"/>
    <mergeCell ref="D856:E856"/>
    <mergeCell ref="F856:G856"/>
    <mergeCell ref="H856:I856"/>
    <mergeCell ref="J856:K856"/>
    <mergeCell ref="B855:C855"/>
    <mergeCell ref="D855:E855"/>
    <mergeCell ref="F855:G855"/>
    <mergeCell ref="H855:I855"/>
    <mergeCell ref="J855:K855"/>
    <mergeCell ref="B858:C858"/>
    <mergeCell ref="D858:E858"/>
    <mergeCell ref="F858:G858"/>
    <mergeCell ref="H858:I858"/>
    <mergeCell ref="J858:K858"/>
    <mergeCell ref="B857:C857"/>
    <mergeCell ref="D857:E857"/>
    <mergeCell ref="F857:G857"/>
    <mergeCell ref="H857:I857"/>
    <mergeCell ref="J857:K857"/>
    <mergeCell ref="B860:C860"/>
    <mergeCell ref="D860:E860"/>
    <mergeCell ref="F860:G860"/>
    <mergeCell ref="H860:I860"/>
    <mergeCell ref="J860:K860"/>
    <mergeCell ref="B859:C859"/>
    <mergeCell ref="D859:E859"/>
    <mergeCell ref="F859:G859"/>
    <mergeCell ref="H859:I859"/>
    <mergeCell ref="J859:K859"/>
    <mergeCell ref="B867:C867"/>
    <mergeCell ref="D867:E867"/>
    <mergeCell ref="F867:G867"/>
    <mergeCell ref="H867:I867"/>
    <mergeCell ref="J867:K867"/>
    <mergeCell ref="B861:C861"/>
    <mergeCell ref="D861:E861"/>
    <mergeCell ref="F861:G861"/>
    <mergeCell ref="H861:I861"/>
    <mergeCell ref="J861:K861"/>
    <mergeCell ref="B872:C872"/>
    <mergeCell ref="D872:E872"/>
    <mergeCell ref="F872:G872"/>
    <mergeCell ref="H872:I872"/>
    <mergeCell ref="J872:K872"/>
    <mergeCell ref="B868:C868"/>
    <mergeCell ref="D868:E868"/>
    <mergeCell ref="F868:G868"/>
    <mergeCell ref="H868:I868"/>
    <mergeCell ref="J868:K868"/>
    <mergeCell ref="B874:C874"/>
    <mergeCell ref="D874:E874"/>
    <mergeCell ref="F874:G874"/>
    <mergeCell ref="H874:I874"/>
    <mergeCell ref="J874:K874"/>
    <mergeCell ref="B873:C873"/>
    <mergeCell ref="D873:E873"/>
    <mergeCell ref="F873:G873"/>
    <mergeCell ref="H873:I873"/>
    <mergeCell ref="J873:K873"/>
    <mergeCell ref="B876:C876"/>
    <mergeCell ref="D876:E876"/>
    <mergeCell ref="F876:G876"/>
    <mergeCell ref="H876:I876"/>
    <mergeCell ref="J876:K876"/>
    <mergeCell ref="B875:C875"/>
    <mergeCell ref="D875:E875"/>
    <mergeCell ref="F875:G875"/>
    <mergeCell ref="H875:I875"/>
    <mergeCell ref="J875:K875"/>
    <mergeCell ref="B878:C878"/>
    <mergeCell ref="D878:E878"/>
    <mergeCell ref="F878:G878"/>
    <mergeCell ref="H878:I878"/>
    <mergeCell ref="J878:K878"/>
    <mergeCell ref="B877:C877"/>
    <mergeCell ref="D877:E877"/>
    <mergeCell ref="F877:G877"/>
    <mergeCell ref="H877:I877"/>
    <mergeCell ref="J877:K877"/>
    <mergeCell ref="B880:C880"/>
    <mergeCell ref="D880:E880"/>
    <mergeCell ref="F880:G880"/>
    <mergeCell ref="H880:I880"/>
    <mergeCell ref="J880:K880"/>
    <mergeCell ref="B879:C879"/>
    <mergeCell ref="D879:E879"/>
    <mergeCell ref="F879:G879"/>
    <mergeCell ref="H879:I879"/>
    <mergeCell ref="J879:K879"/>
    <mergeCell ref="B882:C882"/>
    <mergeCell ref="D882:E882"/>
    <mergeCell ref="F882:G882"/>
    <mergeCell ref="H882:I882"/>
    <mergeCell ref="J882:K882"/>
    <mergeCell ref="B881:C881"/>
    <mergeCell ref="D881:E881"/>
    <mergeCell ref="F881:G881"/>
    <mergeCell ref="H881:I881"/>
    <mergeCell ref="J881:K881"/>
    <mergeCell ref="B884:C884"/>
    <mergeCell ref="D884:E884"/>
    <mergeCell ref="F884:G884"/>
    <mergeCell ref="H884:I884"/>
    <mergeCell ref="J884:K884"/>
    <mergeCell ref="B883:C883"/>
    <mergeCell ref="D883:E883"/>
    <mergeCell ref="F883:G883"/>
    <mergeCell ref="H883:I883"/>
    <mergeCell ref="J883:K883"/>
    <mergeCell ref="B886:C886"/>
    <mergeCell ref="D886:E886"/>
    <mergeCell ref="F886:G886"/>
    <mergeCell ref="H886:I886"/>
    <mergeCell ref="J886:K886"/>
    <mergeCell ref="B885:C885"/>
    <mergeCell ref="D885:E885"/>
    <mergeCell ref="F885:G885"/>
    <mergeCell ref="H885:I885"/>
    <mergeCell ref="J885:K885"/>
    <mergeCell ref="B888:C888"/>
    <mergeCell ref="D888:E888"/>
    <mergeCell ref="F888:G888"/>
    <mergeCell ref="H888:I888"/>
    <mergeCell ref="J888:K888"/>
    <mergeCell ref="B887:C887"/>
    <mergeCell ref="D887:E887"/>
    <mergeCell ref="F887:G887"/>
    <mergeCell ref="H887:I887"/>
    <mergeCell ref="J887:K887"/>
    <mergeCell ref="B890:C890"/>
    <mergeCell ref="D890:E890"/>
    <mergeCell ref="F890:G890"/>
    <mergeCell ref="H890:I890"/>
    <mergeCell ref="J890:K890"/>
    <mergeCell ref="B889:C889"/>
    <mergeCell ref="D889:E889"/>
    <mergeCell ref="F889:G889"/>
    <mergeCell ref="H889:I889"/>
    <mergeCell ref="J889:K889"/>
    <mergeCell ref="B892:C892"/>
    <mergeCell ref="D892:E892"/>
    <mergeCell ref="F892:G892"/>
    <mergeCell ref="H892:I892"/>
    <mergeCell ref="J892:K892"/>
    <mergeCell ref="B891:C891"/>
    <mergeCell ref="D891:E891"/>
    <mergeCell ref="F891:G891"/>
    <mergeCell ref="H891:I891"/>
    <mergeCell ref="J891:K891"/>
    <mergeCell ref="B894:C894"/>
    <mergeCell ref="D894:E894"/>
    <mergeCell ref="F894:G894"/>
    <mergeCell ref="H894:I894"/>
    <mergeCell ref="J894:K894"/>
    <mergeCell ref="B893:C893"/>
    <mergeCell ref="D893:E893"/>
    <mergeCell ref="F893:G893"/>
    <mergeCell ref="H893:I893"/>
    <mergeCell ref="J893:K893"/>
    <mergeCell ref="B896:C896"/>
    <mergeCell ref="D896:E896"/>
    <mergeCell ref="F896:G896"/>
    <mergeCell ref="H896:I896"/>
    <mergeCell ref="J896:K896"/>
    <mergeCell ref="B895:C895"/>
    <mergeCell ref="D895:E895"/>
    <mergeCell ref="F895:G895"/>
    <mergeCell ref="H895:I895"/>
    <mergeCell ref="J895:K895"/>
    <mergeCell ref="B898:C898"/>
    <mergeCell ref="D898:E898"/>
    <mergeCell ref="F898:G898"/>
    <mergeCell ref="H898:I898"/>
    <mergeCell ref="J898:K898"/>
    <mergeCell ref="B897:C897"/>
    <mergeCell ref="D897:E897"/>
    <mergeCell ref="F897:G897"/>
    <mergeCell ref="H897:I897"/>
    <mergeCell ref="J897:K897"/>
    <mergeCell ref="B900:C900"/>
    <mergeCell ref="D900:E900"/>
    <mergeCell ref="F900:G900"/>
    <mergeCell ref="H900:I900"/>
    <mergeCell ref="J900:K900"/>
    <mergeCell ref="B899:C899"/>
    <mergeCell ref="D899:E899"/>
    <mergeCell ref="F899:G899"/>
    <mergeCell ref="H899:I899"/>
    <mergeCell ref="J899:K899"/>
    <mergeCell ref="B902:C902"/>
    <mergeCell ref="D902:E902"/>
    <mergeCell ref="F902:G902"/>
    <mergeCell ref="H902:I902"/>
    <mergeCell ref="J902:K902"/>
    <mergeCell ref="B901:C901"/>
    <mergeCell ref="D901:E901"/>
    <mergeCell ref="F901:G901"/>
    <mergeCell ref="H901:I901"/>
    <mergeCell ref="J901:K901"/>
    <mergeCell ref="B909:C909"/>
    <mergeCell ref="D909:E909"/>
    <mergeCell ref="F909:G909"/>
    <mergeCell ref="H909:I909"/>
    <mergeCell ref="J909:K909"/>
    <mergeCell ref="B908:C908"/>
    <mergeCell ref="D908:E908"/>
    <mergeCell ref="F908:G908"/>
    <mergeCell ref="H908:I908"/>
    <mergeCell ref="J908:K908"/>
    <mergeCell ref="B914:C914"/>
    <mergeCell ref="D914:E914"/>
    <mergeCell ref="F914:G914"/>
    <mergeCell ref="H914:I914"/>
    <mergeCell ref="J914:K914"/>
    <mergeCell ref="B913:C913"/>
    <mergeCell ref="D913:E913"/>
    <mergeCell ref="F913:G913"/>
    <mergeCell ref="H913:I913"/>
    <mergeCell ref="J913:K913"/>
    <mergeCell ref="B916:C916"/>
    <mergeCell ref="D916:E916"/>
    <mergeCell ref="F916:G916"/>
    <mergeCell ref="H916:I916"/>
    <mergeCell ref="J916:K916"/>
    <mergeCell ref="B915:C915"/>
    <mergeCell ref="D915:E915"/>
    <mergeCell ref="F915:G915"/>
    <mergeCell ref="H915:I915"/>
    <mergeCell ref="J915:K915"/>
    <mergeCell ref="B918:C918"/>
    <mergeCell ref="D918:E918"/>
    <mergeCell ref="F918:G918"/>
    <mergeCell ref="H918:I918"/>
    <mergeCell ref="J918:K918"/>
    <mergeCell ref="B917:C917"/>
    <mergeCell ref="D917:E917"/>
    <mergeCell ref="F917:G917"/>
    <mergeCell ref="H917:I917"/>
    <mergeCell ref="J917:K917"/>
    <mergeCell ref="B920:C920"/>
    <mergeCell ref="D920:E920"/>
    <mergeCell ref="F920:G920"/>
    <mergeCell ref="H920:I920"/>
    <mergeCell ref="J920:K920"/>
    <mergeCell ref="B919:C919"/>
    <mergeCell ref="D919:E919"/>
    <mergeCell ref="F919:G919"/>
    <mergeCell ref="H919:I919"/>
    <mergeCell ref="J919:K919"/>
    <mergeCell ref="B922:C922"/>
    <mergeCell ref="D922:E922"/>
    <mergeCell ref="F922:G922"/>
    <mergeCell ref="H922:I922"/>
    <mergeCell ref="J922:K922"/>
    <mergeCell ref="B921:C921"/>
    <mergeCell ref="D921:E921"/>
    <mergeCell ref="F921:G921"/>
    <mergeCell ref="H921:I921"/>
    <mergeCell ref="J921:K921"/>
    <mergeCell ref="B924:C924"/>
    <mergeCell ref="D924:E924"/>
    <mergeCell ref="F924:G924"/>
    <mergeCell ref="H924:I924"/>
    <mergeCell ref="J924:K924"/>
    <mergeCell ref="B923:C923"/>
    <mergeCell ref="D923:E923"/>
    <mergeCell ref="F923:G923"/>
    <mergeCell ref="H923:I923"/>
    <mergeCell ref="J923:K923"/>
    <mergeCell ref="B926:C926"/>
    <mergeCell ref="D926:E926"/>
    <mergeCell ref="F926:G926"/>
    <mergeCell ref="H926:I926"/>
    <mergeCell ref="J926:K926"/>
    <mergeCell ref="B925:C925"/>
    <mergeCell ref="D925:E925"/>
    <mergeCell ref="F925:G925"/>
    <mergeCell ref="H925:I925"/>
    <mergeCell ref="J925:K925"/>
    <mergeCell ref="B928:C928"/>
    <mergeCell ref="D928:E928"/>
    <mergeCell ref="F928:G928"/>
    <mergeCell ref="H928:I928"/>
    <mergeCell ref="J928:K928"/>
    <mergeCell ref="B927:C927"/>
    <mergeCell ref="D927:E927"/>
    <mergeCell ref="F927:G927"/>
    <mergeCell ref="H927:I927"/>
    <mergeCell ref="J927:K927"/>
    <mergeCell ref="B930:C930"/>
    <mergeCell ref="D930:E930"/>
    <mergeCell ref="F930:G930"/>
    <mergeCell ref="H930:I930"/>
    <mergeCell ref="J930:K930"/>
    <mergeCell ref="B929:C929"/>
    <mergeCell ref="D929:E929"/>
    <mergeCell ref="F929:G929"/>
    <mergeCell ref="H929:I929"/>
    <mergeCell ref="J929:K929"/>
    <mergeCell ref="B932:C932"/>
    <mergeCell ref="D932:E932"/>
    <mergeCell ref="F932:G932"/>
    <mergeCell ref="H932:I932"/>
    <mergeCell ref="J932:K932"/>
    <mergeCell ref="B931:C931"/>
    <mergeCell ref="D931:E931"/>
    <mergeCell ref="F931:G931"/>
    <mergeCell ref="H931:I931"/>
    <mergeCell ref="J931:K931"/>
    <mergeCell ref="B934:C934"/>
    <mergeCell ref="D934:E934"/>
    <mergeCell ref="F934:G934"/>
    <mergeCell ref="H934:I934"/>
    <mergeCell ref="J934:K934"/>
    <mergeCell ref="B933:C933"/>
    <mergeCell ref="D933:E933"/>
    <mergeCell ref="F933:G933"/>
    <mergeCell ref="H933:I933"/>
    <mergeCell ref="J933:K933"/>
    <mergeCell ref="B936:C936"/>
    <mergeCell ref="D936:E936"/>
    <mergeCell ref="F936:G936"/>
    <mergeCell ref="H936:I936"/>
    <mergeCell ref="J936:K936"/>
    <mergeCell ref="B935:C935"/>
    <mergeCell ref="D935:E935"/>
    <mergeCell ref="F935:G935"/>
    <mergeCell ref="H935:I935"/>
    <mergeCell ref="J935:K935"/>
    <mergeCell ref="B938:C938"/>
    <mergeCell ref="D938:E938"/>
    <mergeCell ref="F938:G938"/>
    <mergeCell ref="H938:I938"/>
    <mergeCell ref="J938:K938"/>
    <mergeCell ref="B937:C937"/>
    <mergeCell ref="D937:E937"/>
    <mergeCell ref="F937:G937"/>
    <mergeCell ref="H937:I937"/>
    <mergeCell ref="J937:K937"/>
    <mergeCell ref="B940:C940"/>
    <mergeCell ref="D940:E940"/>
    <mergeCell ref="F940:G940"/>
    <mergeCell ref="H940:I940"/>
    <mergeCell ref="J940:K940"/>
    <mergeCell ref="B939:C939"/>
    <mergeCell ref="D939:E939"/>
    <mergeCell ref="F939:G939"/>
    <mergeCell ref="H939:I939"/>
    <mergeCell ref="J939:K939"/>
    <mergeCell ref="B942:C942"/>
    <mergeCell ref="D942:E942"/>
    <mergeCell ref="F942:G942"/>
    <mergeCell ref="H942:I942"/>
    <mergeCell ref="J942:K942"/>
    <mergeCell ref="B941:C941"/>
    <mergeCell ref="D941:E941"/>
    <mergeCell ref="F941:G941"/>
    <mergeCell ref="H941:I941"/>
    <mergeCell ref="J941:K941"/>
    <mergeCell ref="B949:C949"/>
    <mergeCell ref="D949:E949"/>
    <mergeCell ref="F949:G949"/>
    <mergeCell ref="H949:I949"/>
    <mergeCell ref="J949:K949"/>
    <mergeCell ref="B943:C943"/>
    <mergeCell ref="D943:E943"/>
    <mergeCell ref="F943:G943"/>
    <mergeCell ref="H943:I943"/>
    <mergeCell ref="J943:K943"/>
    <mergeCell ref="B954:C954"/>
    <mergeCell ref="D954:E954"/>
    <mergeCell ref="F954:G954"/>
    <mergeCell ref="H954:I954"/>
    <mergeCell ref="J954:K954"/>
    <mergeCell ref="B950:C950"/>
    <mergeCell ref="D950:E950"/>
    <mergeCell ref="F950:G950"/>
    <mergeCell ref="H950:I950"/>
    <mergeCell ref="J950:K950"/>
    <mergeCell ref="B956:C956"/>
    <mergeCell ref="D956:E956"/>
    <mergeCell ref="F956:G956"/>
    <mergeCell ref="H956:I956"/>
    <mergeCell ref="J956:K956"/>
    <mergeCell ref="B955:C955"/>
    <mergeCell ref="D955:E955"/>
    <mergeCell ref="F955:G955"/>
    <mergeCell ref="H955:I955"/>
    <mergeCell ref="J955:K955"/>
    <mergeCell ref="B958:C958"/>
    <mergeCell ref="D958:E958"/>
    <mergeCell ref="F958:G958"/>
    <mergeCell ref="H958:I958"/>
    <mergeCell ref="J958:K958"/>
    <mergeCell ref="B957:C957"/>
    <mergeCell ref="D957:E957"/>
    <mergeCell ref="F957:G957"/>
    <mergeCell ref="H957:I957"/>
    <mergeCell ref="J957:K957"/>
    <mergeCell ref="B960:C960"/>
    <mergeCell ref="D960:E960"/>
    <mergeCell ref="F960:G960"/>
    <mergeCell ref="H960:I960"/>
    <mergeCell ref="J960:K960"/>
    <mergeCell ref="B959:C959"/>
    <mergeCell ref="D959:E959"/>
    <mergeCell ref="F959:G959"/>
    <mergeCell ref="H959:I959"/>
    <mergeCell ref="J959:K959"/>
    <mergeCell ref="B962:C962"/>
    <mergeCell ref="D962:E962"/>
    <mergeCell ref="F962:G962"/>
    <mergeCell ref="H962:I962"/>
    <mergeCell ref="J962:K962"/>
    <mergeCell ref="B961:C961"/>
    <mergeCell ref="D961:E961"/>
    <mergeCell ref="F961:G961"/>
    <mergeCell ref="H961:I961"/>
    <mergeCell ref="J961:K961"/>
    <mergeCell ref="B964:C964"/>
    <mergeCell ref="D964:E964"/>
    <mergeCell ref="F964:G964"/>
    <mergeCell ref="H964:I964"/>
    <mergeCell ref="J964:K964"/>
    <mergeCell ref="B963:C963"/>
    <mergeCell ref="D963:E963"/>
    <mergeCell ref="F963:G963"/>
    <mergeCell ref="H963:I963"/>
    <mergeCell ref="J963:K963"/>
    <mergeCell ref="B966:C966"/>
    <mergeCell ref="D966:E966"/>
    <mergeCell ref="F966:G966"/>
    <mergeCell ref="H966:I966"/>
    <mergeCell ref="J966:K966"/>
    <mergeCell ref="B965:C965"/>
    <mergeCell ref="D965:E965"/>
    <mergeCell ref="F965:G965"/>
    <mergeCell ref="H965:I965"/>
    <mergeCell ref="J965:K965"/>
    <mergeCell ref="B968:C968"/>
    <mergeCell ref="D968:E968"/>
    <mergeCell ref="F968:G968"/>
    <mergeCell ref="H968:I968"/>
    <mergeCell ref="J968:K968"/>
    <mergeCell ref="B967:C967"/>
    <mergeCell ref="D967:E967"/>
    <mergeCell ref="F967:G967"/>
    <mergeCell ref="H967:I967"/>
    <mergeCell ref="J967:K967"/>
    <mergeCell ref="B970:C970"/>
    <mergeCell ref="D970:E970"/>
    <mergeCell ref="F970:G970"/>
    <mergeCell ref="H970:I970"/>
    <mergeCell ref="J970:K970"/>
    <mergeCell ref="B969:C969"/>
    <mergeCell ref="D969:E969"/>
    <mergeCell ref="F969:G969"/>
    <mergeCell ref="H969:I969"/>
    <mergeCell ref="J969:K969"/>
    <mergeCell ref="B972:C972"/>
    <mergeCell ref="D972:E972"/>
    <mergeCell ref="F972:G972"/>
    <mergeCell ref="H972:I972"/>
    <mergeCell ref="J972:K972"/>
    <mergeCell ref="B971:C971"/>
    <mergeCell ref="D971:E971"/>
    <mergeCell ref="F971:G971"/>
    <mergeCell ref="H971:I971"/>
    <mergeCell ref="J971:K971"/>
    <mergeCell ref="B974:C974"/>
    <mergeCell ref="D974:E974"/>
    <mergeCell ref="F974:G974"/>
    <mergeCell ref="H974:I974"/>
    <mergeCell ref="J974:K974"/>
    <mergeCell ref="B973:C973"/>
    <mergeCell ref="D973:E973"/>
    <mergeCell ref="F973:G973"/>
    <mergeCell ref="H973:I973"/>
    <mergeCell ref="J973:K973"/>
    <mergeCell ref="B976:C976"/>
    <mergeCell ref="D976:E976"/>
    <mergeCell ref="F976:G976"/>
    <mergeCell ref="H976:I976"/>
    <mergeCell ref="J976:K976"/>
    <mergeCell ref="B975:C975"/>
    <mergeCell ref="D975:E975"/>
    <mergeCell ref="F975:G975"/>
    <mergeCell ref="H975:I975"/>
    <mergeCell ref="J975:K975"/>
    <mergeCell ref="B978:C978"/>
    <mergeCell ref="D978:E978"/>
    <mergeCell ref="F978:G978"/>
    <mergeCell ref="H978:I978"/>
    <mergeCell ref="J978:K978"/>
    <mergeCell ref="B977:C977"/>
    <mergeCell ref="D977:E977"/>
    <mergeCell ref="F977:G977"/>
    <mergeCell ref="H977:I977"/>
    <mergeCell ref="J977:K977"/>
    <mergeCell ref="B980:C980"/>
    <mergeCell ref="D980:E980"/>
    <mergeCell ref="F980:G980"/>
    <mergeCell ref="H980:I980"/>
    <mergeCell ref="J980:K980"/>
    <mergeCell ref="B979:C979"/>
    <mergeCell ref="D979:E979"/>
    <mergeCell ref="F979:G979"/>
    <mergeCell ref="H979:I979"/>
    <mergeCell ref="J979:K979"/>
    <mergeCell ref="B982:C982"/>
    <mergeCell ref="D982:E982"/>
    <mergeCell ref="F982:G982"/>
    <mergeCell ref="H982:I982"/>
    <mergeCell ref="J982:K982"/>
    <mergeCell ref="B981:C981"/>
    <mergeCell ref="D981:E981"/>
    <mergeCell ref="F981:G981"/>
    <mergeCell ref="H981:I981"/>
    <mergeCell ref="J981:K981"/>
    <mergeCell ref="B984:C984"/>
    <mergeCell ref="D984:E984"/>
    <mergeCell ref="F984:G984"/>
    <mergeCell ref="H984:I984"/>
    <mergeCell ref="J984:K984"/>
    <mergeCell ref="B983:C983"/>
    <mergeCell ref="D983:E983"/>
    <mergeCell ref="F983:G983"/>
    <mergeCell ref="H983:I983"/>
    <mergeCell ref="J983:K983"/>
    <mergeCell ref="B991:C991"/>
    <mergeCell ref="D991:E991"/>
    <mergeCell ref="F991:G991"/>
    <mergeCell ref="H991:I991"/>
    <mergeCell ref="J991:K991"/>
    <mergeCell ref="B990:C990"/>
    <mergeCell ref="D990:E990"/>
    <mergeCell ref="F990:G990"/>
    <mergeCell ref="H990:I990"/>
    <mergeCell ref="J990:K990"/>
    <mergeCell ref="B996:C996"/>
    <mergeCell ref="D996:E996"/>
    <mergeCell ref="F996:G996"/>
    <mergeCell ref="H996:I996"/>
    <mergeCell ref="J996:K996"/>
    <mergeCell ref="B995:C995"/>
    <mergeCell ref="D995:E995"/>
    <mergeCell ref="F995:G995"/>
    <mergeCell ref="H995:I995"/>
    <mergeCell ref="J995:K995"/>
    <mergeCell ref="B998:C998"/>
    <mergeCell ref="D998:E998"/>
    <mergeCell ref="F998:G998"/>
    <mergeCell ref="H998:I998"/>
    <mergeCell ref="J998:K998"/>
    <mergeCell ref="B997:C997"/>
    <mergeCell ref="D997:E997"/>
    <mergeCell ref="F997:G997"/>
    <mergeCell ref="H997:I997"/>
    <mergeCell ref="J997:K997"/>
    <mergeCell ref="B1000:C1000"/>
    <mergeCell ref="D1000:E1000"/>
    <mergeCell ref="F1000:G1000"/>
    <mergeCell ref="H1000:I1000"/>
    <mergeCell ref="J1000:K1000"/>
    <mergeCell ref="B999:C999"/>
    <mergeCell ref="D999:E999"/>
    <mergeCell ref="F999:G999"/>
    <mergeCell ref="H999:I999"/>
    <mergeCell ref="J999:K999"/>
    <mergeCell ref="B1002:C1002"/>
    <mergeCell ref="D1002:E1002"/>
    <mergeCell ref="F1002:G1002"/>
    <mergeCell ref="H1002:I1002"/>
    <mergeCell ref="J1002:K1002"/>
    <mergeCell ref="B1001:C1001"/>
    <mergeCell ref="D1001:E1001"/>
    <mergeCell ref="F1001:G1001"/>
    <mergeCell ref="H1001:I1001"/>
    <mergeCell ref="J1001:K1001"/>
    <mergeCell ref="B1004:C1004"/>
    <mergeCell ref="D1004:E1004"/>
    <mergeCell ref="F1004:G1004"/>
    <mergeCell ref="H1004:I1004"/>
    <mergeCell ref="J1004:K1004"/>
    <mergeCell ref="B1003:C1003"/>
    <mergeCell ref="D1003:E1003"/>
    <mergeCell ref="F1003:G1003"/>
    <mergeCell ref="H1003:I1003"/>
    <mergeCell ref="J1003:K1003"/>
    <mergeCell ref="B1006:C1006"/>
    <mergeCell ref="D1006:E1006"/>
    <mergeCell ref="F1006:G1006"/>
    <mergeCell ref="H1006:I1006"/>
    <mergeCell ref="J1006:K1006"/>
    <mergeCell ref="B1005:C1005"/>
    <mergeCell ref="D1005:E1005"/>
    <mergeCell ref="F1005:G1005"/>
    <mergeCell ref="H1005:I1005"/>
    <mergeCell ref="J1005:K1005"/>
    <mergeCell ref="B1008:C1008"/>
    <mergeCell ref="D1008:E1008"/>
    <mergeCell ref="F1008:G1008"/>
    <mergeCell ref="H1008:I1008"/>
    <mergeCell ref="J1008:K1008"/>
    <mergeCell ref="B1007:C1007"/>
    <mergeCell ref="D1007:E1007"/>
    <mergeCell ref="F1007:G1007"/>
    <mergeCell ref="H1007:I1007"/>
    <mergeCell ref="J1007:K1007"/>
    <mergeCell ref="B1010:C1010"/>
    <mergeCell ref="D1010:E1010"/>
    <mergeCell ref="F1010:G1010"/>
    <mergeCell ref="H1010:I1010"/>
    <mergeCell ref="J1010:K1010"/>
    <mergeCell ref="B1009:C1009"/>
    <mergeCell ref="D1009:E1009"/>
    <mergeCell ref="F1009:G1009"/>
    <mergeCell ref="H1009:I1009"/>
    <mergeCell ref="J1009:K1009"/>
    <mergeCell ref="B1012:C1012"/>
    <mergeCell ref="D1012:E1012"/>
    <mergeCell ref="F1012:G1012"/>
    <mergeCell ref="H1012:I1012"/>
    <mergeCell ref="J1012:K1012"/>
    <mergeCell ref="B1011:C1011"/>
    <mergeCell ref="D1011:E1011"/>
    <mergeCell ref="F1011:G1011"/>
    <mergeCell ref="H1011:I1011"/>
    <mergeCell ref="J1011:K1011"/>
    <mergeCell ref="B1014:C1014"/>
    <mergeCell ref="D1014:E1014"/>
    <mergeCell ref="F1014:G1014"/>
    <mergeCell ref="H1014:I1014"/>
    <mergeCell ref="J1014:K1014"/>
    <mergeCell ref="B1013:C1013"/>
    <mergeCell ref="D1013:E1013"/>
    <mergeCell ref="F1013:G1013"/>
    <mergeCell ref="H1013:I1013"/>
    <mergeCell ref="J1013:K1013"/>
    <mergeCell ref="B1016:C1016"/>
    <mergeCell ref="D1016:E1016"/>
    <mergeCell ref="F1016:G1016"/>
    <mergeCell ref="H1016:I1016"/>
    <mergeCell ref="J1016:K1016"/>
    <mergeCell ref="B1015:C1015"/>
    <mergeCell ref="D1015:E1015"/>
    <mergeCell ref="F1015:G1015"/>
    <mergeCell ref="H1015:I1015"/>
    <mergeCell ref="J1015:K1015"/>
    <mergeCell ref="B1018:C1018"/>
    <mergeCell ref="D1018:E1018"/>
    <mergeCell ref="F1018:G1018"/>
    <mergeCell ref="H1018:I1018"/>
    <mergeCell ref="J1018:K1018"/>
    <mergeCell ref="B1017:C1017"/>
    <mergeCell ref="D1017:E1017"/>
    <mergeCell ref="F1017:G1017"/>
    <mergeCell ref="H1017:I1017"/>
    <mergeCell ref="J1017:K1017"/>
    <mergeCell ref="B1020:C1020"/>
    <mergeCell ref="D1020:E1020"/>
    <mergeCell ref="F1020:G1020"/>
    <mergeCell ref="H1020:I1020"/>
    <mergeCell ref="J1020:K1020"/>
    <mergeCell ref="B1019:C1019"/>
    <mergeCell ref="D1019:E1019"/>
    <mergeCell ref="F1019:G1019"/>
    <mergeCell ref="H1019:I1019"/>
    <mergeCell ref="J1019:K1019"/>
    <mergeCell ref="B1022:C1022"/>
    <mergeCell ref="D1022:E1022"/>
    <mergeCell ref="F1022:G1022"/>
    <mergeCell ref="H1022:I1022"/>
    <mergeCell ref="J1022:K1022"/>
    <mergeCell ref="B1021:C1021"/>
    <mergeCell ref="D1021:E1021"/>
    <mergeCell ref="F1021:G1021"/>
    <mergeCell ref="H1021:I1021"/>
    <mergeCell ref="J1021:K1021"/>
    <mergeCell ref="B1024:C1024"/>
    <mergeCell ref="D1024:E1024"/>
    <mergeCell ref="F1024:G1024"/>
    <mergeCell ref="H1024:I1024"/>
    <mergeCell ref="J1024:K1024"/>
    <mergeCell ref="B1023:C1023"/>
    <mergeCell ref="D1023:E1023"/>
    <mergeCell ref="F1023:G1023"/>
    <mergeCell ref="H1023:I1023"/>
    <mergeCell ref="J1023:K1023"/>
    <mergeCell ref="B1035:C1035"/>
    <mergeCell ref="D1035:E1035"/>
    <mergeCell ref="F1035:G1035"/>
    <mergeCell ref="H1035:I1035"/>
    <mergeCell ref="J1035:K1035"/>
    <mergeCell ref="B1025:C1025"/>
    <mergeCell ref="D1025:E1025"/>
    <mergeCell ref="F1025:G1025"/>
    <mergeCell ref="H1025:I1025"/>
    <mergeCell ref="J1025:K1025"/>
    <mergeCell ref="B1040:C1040"/>
    <mergeCell ref="D1040:E1040"/>
    <mergeCell ref="F1040:G1040"/>
    <mergeCell ref="H1040:I1040"/>
    <mergeCell ref="J1040:K1040"/>
    <mergeCell ref="B1036:C1036"/>
    <mergeCell ref="D1036:E1036"/>
    <mergeCell ref="F1036:G1036"/>
    <mergeCell ref="H1036:I1036"/>
    <mergeCell ref="J1036:K1036"/>
    <mergeCell ref="B1042:C1042"/>
    <mergeCell ref="D1042:E1042"/>
    <mergeCell ref="F1042:G1042"/>
    <mergeCell ref="H1042:I1042"/>
    <mergeCell ref="J1042:K1042"/>
    <mergeCell ref="B1041:C1041"/>
    <mergeCell ref="D1041:E1041"/>
    <mergeCell ref="F1041:G1041"/>
    <mergeCell ref="H1041:I1041"/>
    <mergeCell ref="J1041:K1041"/>
    <mergeCell ref="B1044:C1044"/>
    <mergeCell ref="D1044:E1044"/>
    <mergeCell ref="F1044:G1044"/>
    <mergeCell ref="H1044:I1044"/>
    <mergeCell ref="J1044:K1044"/>
    <mergeCell ref="B1043:C1043"/>
    <mergeCell ref="D1043:E1043"/>
    <mergeCell ref="F1043:G1043"/>
    <mergeCell ref="H1043:I1043"/>
    <mergeCell ref="J1043:K1043"/>
    <mergeCell ref="B1046:C1046"/>
    <mergeCell ref="D1046:E1046"/>
    <mergeCell ref="F1046:G1046"/>
    <mergeCell ref="H1046:I1046"/>
    <mergeCell ref="J1046:K1046"/>
    <mergeCell ref="B1045:C1045"/>
    <mergeCell ref="D1045:E1045"/>
    <mergeCell ref="F1045:G1045"/>
    <mergeCell ref="H1045:I1045"/>
    <mergeCell ref="J1045:K1045"/>
    <mergeCell ref="B1048:C1048"/>
    <mergeCell ref="D1048:E1048"/>
    <mergeCell ref="F1048:G1048"/>
    <mergeCell ref="H1048:I1048"/>
    <mergeCell ref="J1048:K1048"/>
    <mergeCell ref="B1047:C1047"/>
    <mergeCell ref="D1047:E1047"/>
    <mergeCell ref="F1047:G1047"/>
    <mergeCell ref="H1047:I1047"/>
    <mergeCell ref="J1047:K1047"/>
    <mergeCell ref="B1050:C1050"/>
    <mergeCell ref="D1050:E1050"/>
    <mergeCell ref="F1050:G1050"/>
    <mergeCell ref="H1050:I1050"/>
    <mergeCell ref="J1050:K1050"/>
    <mergeCell ref="B1049:C1049"/>
    <mergeCell ref="D1049:E1049"/>
    <mergeCell ref="F1049:G1049"/>
    <mergeCell ref="H1049:I1049"/>
    <mergeCell ref="J1049:K1049"/>
    <mergeCell ref="B1052:C1052"/>
    <mergeCell ref="D1052:E1052"/>
    <mergeCell ref="F1052:G1052"/>
    <mergeCell ref="H1052:I1052"/>
    <mergeCell ref="J1052:K1052"/>
    <mergeCell ref="B1051:C1051"/>
    <mergeCell ref="D1051:E1051"/>
    <mergeCell ref="F1051:G1051"/>
    <mergeCell ref="H1051:I1051"/>
    <mergeCell ref="J1051:K1051"/>
    <mergeCell ref="B1054:C1054"/>
    <mergeCell ref="D1054:E1054"/>
    <mergeCell ref="F1054:G1054"/>
    <mergeCell ref="H1054:I1054"/>
    <mergeCell ref="J1054:K1054"/>
    <mergeCell ref="B1053:C1053"/>
    <mergeCell ref="D1053:E1053"/>
    <mergeCell ref="F1053:G1053"/>
    <mergeCell ref="H1053:I1053"/>
    <mergeCell ref="J1053:K1053"/>
    <mergeCell ref="B1056:C1056"/>
    <mergeCell ref="D1056:E1056"/>
    <mergeCell ref="F1056:G1056"/>
    <mergeCell ref="H1056:I1056"/>
    <mergeCell ref="J1056:K1056"/>
    <mergeCell ref="B1055:C1055"/>
    <mergeCell ref="D1055:E1055"/>
    <mergeCell ref="F1055:G1055"/>
    <mergeCell ref="H1055:I1055"/>
    <mergeCell ref="J1055:K1055"/>
    <mergeCell ref="B1058:C1058"/>
    <mergeCell ref="D1058:E1058"/>
    <mergeCell ref="F1058:G1058"/>
    <mergeCell ref="H1058:I1058"/>
    <mergeCell ref="J1058:K1058"/>
    <mergeCell ref="B1057:C1057"/>
    <mergeCell ref="D1057:E1057"/>
    <mergeCell ref="F1057:G1057"/>
    <mergeCell ref="H1057:I1057"/>
    <mergeCell ref="J1057:K1057"/>
    <mergeCell ref="B1060:C1060"/>
    <mergeCell ref="D1060:E1060"/>
    <mergeCell ref="F1060:G1060"/>
    <mergeCell ref="H1060:I1060"/>
    <mergeCell ref="J1060:K1060"/>
    <mergeCell ref="B1059:C1059"/>
    <mergeCell ref="D1059:E1059"/>
    <mergeCell ref="F1059:G1059"/>
    <mergeCell ref="H1059:I1059"/>
    <mergeCell ref="J1059:K1059"/>
    <mergeCell ref="B1062:C1062"/>
    <mergeCell ref="D1062:E1062"/>
    <mergeCell ref="F1062:G1062"/>
    <mergeCell ref="H1062:I1062"/>
    <mergeCell ref="J1062:K1062"/>
    <mergeCell ref="B1061:C1061"/>
    <mergeCell ref="D1061:E1061"/>
    <mergeCell ref="F1061:G1061"/>
    <mergeCell ref="H1061:I1061"/>
    <mergeCell ref="J1061:K1061"/>
    <mergeCell ref="B1064:C1064"/>
    <mergeCell ref="D1064:E1064"/>
    <mergeCell ref="F1064:G1064"/>
    <mergeCell ref="H1064:I1064"/>
    <mergeCell ref="J1064:K1064"/>
    <mergeCell ref="B1063:C1063"/>
    <mergeCell ref="D1063:E1063"/>
    <mergeCell ref="F1063:G1063"/>
    <mergeCell ref="H1063:I1063"/>
    <mergeCell ref="J1063:K1063"/>
    <mergeCell ref="B1066:C1066"/>
    <mergeCell ref="D1066:E1066"/>
    <mergeCell ref="F1066:G1066"/>
    <mergeCell ref="H1066:I1066"/>
    <mergeCell ref="J1066:K1066"/>
    <mergeCell ref="B1065:C1065"/>
    <mergeCell ref="D1065:E1065"/>
    <mergeCell ref="F1065:G1065"/>
    <mergeCell ref="H1065:I1065"/>
    <mergeCell ref="J1065:K1065"/>
    <mergeCell ref="B1068:C1068"/>
    <mergeCell ref="D1068:E1068"/>
    <mergeCell ref="F1068:G1068"/>
    <mergeCell ref="H1068:I1068"/>
    <mergeCell ref="J1068:K1068"/>
    <mergeCell ref="B1067:C1067"/>
    <mergeCell ref="D1067:E1067"/>
    <mergeCell ref="F1067:G1067"/>
    <mergeCell ref="H1067:I1067"/>
    <mergeCell ref="J1067:K1067"/>
    <mergeCell ref="B1070:C1070"/>
    <mergeCell ref="D1070:E1070"/>
    <mergeCell ref="F1070:G1070"/>
    <mergeCell ref="H1070:I1070"/>
    <mergeCell ref="J1070:K1070"/>
    <mergeCell ref="B1069:C1069"/>
    <mergeCell ref="D1069:E1069"/>
    <mergeCell ref="F1069:G1069"/>
    <mergeCell ref="H1069:I1069"/>
    <mergeCell ref="J1069:K1069"/>
    <mergeCell ref="B1081:C1081"/>
    <mergeCell ref="D1081:E1081"/>
    <mergeCell ref="F1081:G1081"/>
    <mergeCell ref="H1081:I1081"/>
    <mergeCell ref="J1081:K1081"/>
    <mergeCell ref="B1080:C1080"/>
    <mergeCell ref="D1080:E1080"/>
    <mergeCell ref="F1080:G1080"/>
    <mergeCell ref="H1080:I1080"/>
    <mergeCell ref="J1080:K1080"/>
    <mergeCell ref="B1086:C1086"/>
    <mergeCell ref="D1086:E1086"/>
    <mergeCell ref="F1086:G1086"/>
    <mergeCell ref="H1086:I1086"/>
    <mergeCell ref="J1086:K1086"/>
    <mergeCell ref="B1085:C1085"/>
    <mergeCell ref="D1085:E1085"/>
    <mergeCell ref="F1085:G1085"/>
    <mergeCell ref="H1085:I1085"/>
    <mergeCell ref="J1085:K1085"/>
    <mergeCell ref="B1088:C1088"/>
    <mergeCell ref="D1088:E1088"/>
    <mergeCell ref="F1088:G1088"/>
    <mergeCell ref="H1088:I1088"/>
    <mergeCell ref="J1088:K1088"/>
    <mergeCell ref="B1087:C1087"/>
    <mergeCell ref="D1087:E1087"/>
    <mergeCell ref="F1087:G1087"/>
    <mergeCell ref="H1087:I1087"/>
    <mergeCell ref="J1087:K1087"/>
    <mergeCell ref="B1090:C1090"/>
    <mergeCell ref="D1090:E1090"/>
    <mergeCell ref="F1090:G1090"/>
    <mergeCell ref="H1090:I1090"/>
    <mergeCell ref="J1090:K1090"/>
    <mergeCell ref="B1089:C1089"/>
    <mergeCell ref="D1089:E1089"/>
    <mergeCell ref="F1089:G1089"/>
    <mergeCell ref="H1089:I1089"/>
    <mergeCell ref="J1089:K1089"/>
    <mergeCell ref="B1092:C1092"/>
    <mergeCell ref="D1092:E1092"/>
    <mergeCell ref="F1092:G1092"/>
    <mergeCell ref="H1092:I1092"/>
    <mergeCell ref="J1092:K1092"/>
    <mergeCell ref="B1091:C1091"/>
    <mergeCell ref="D1091:E1091"/>
    <mergeCell ref="F1091:G1091"/>
    <mergeCell ref="H1091:I1091"/>
    <mergeCell ref="J1091:K1091"/>
    <mergeCell ref="B1094:C1094"/>
    <mergeCell ref="D1094:E1094"/>
    <mergeCell ref="F1094:G1094"/>
    <mergeCell ref="H1094:I1094"/>
    <mergeCell ref="J1094:K1094"/>
    <mergeCell ref="B1093:C1093"/>
    <mergeCell ref="D1093:E1093"/>
    <mergeCell ref="F1093:G1093"/>
    <mergeCell ref="H1093:I1093"/>
    <mergeCell ref="J1093:K1093"/>
    <mergeCell ref="B1096:C1096"/>
    <mergeCell ref="D1096:E1096"/>
    <mergeCell ref="F1096:G1096"/>
    <mergeCell ref="H1096:I1096"/>
    <mergeCell ref="J1096:K1096"/>
    <mergeCell ref="B1095:C1095"/>
    <mergeCell ref="D1095:E1095"/>
    <mergeCell ref="F1095:G1095"/>
    <mergeCell ref="H1095:I1095"/>
    <mergeCell ref="J1095:K1095"/>
    <mergeCell ref="B1098:C1098"/>
    <mergeCell ref="D1098:E1098"/>
    <mergeCell ref="F1098:G1098"/>
    <mergeCell ref="H1098:I1098"/>
    <mergeCell ref="J1098:K1098"/>
    <mergeCell ref="B1097:C1097"/>
    <mergeCell ref="D1097:E1097"/>
    <mergeCell ref="F1097:G1097"/>
    <mergeCell ref="H1097:I1097"/>
    <mergeCell ref="J1097:K1097"/>
    <mergeCell ref="B1100:C1100"/>
    <mergeCell ref="D1100:E1100"/>
    <mergeCell ref="F1100:G1100"/>
    <mergeCell ref="H1100:I1100"/>
    <mergeCell ref="J1100:K1100"/>
    <mergeCell ref="B1099:C1099"/>
    <mergeCell ref="D1099:E1099"/>
    <mergeCell ref="F1099:G1099"/>
    <mergeCell ref="H1099:I1099"/>
    <mergeCell ref="J1099:K1099"/>
    <mergeCell ref="B1102:C1102"/>
    <mergeCell ref="D1102:E1102"/>
    <mergeCell ref="F1102:G1102"/>
    <mergeCell ref="H1102:I1102"/>
    <mergeCell ref="J1102:K1102"/>
    <mergeCell ref="B1101:C1101"/>
    <mergeCell ref="D1101:E1101"/>
    <mergeCell ref="F1101:G1101"/>
    <mergeCell ref="H1101:I1101"/>
    <mergeCell ref="J1101:K1101"/>
    <mergeCell ref="B1104:C1104"/>
    <mergeCell ref="D1104:E1104"/>
    <mergeCell ref="F1104:G1104"/>
    <mergeCell ref="H1104:I1104"/>
    <mergeCell ref="J1104:K1104"/>
    <mergeCell ref="B1103:C1103"/>
    <mergeCell ref="D1103:E1103"/>
    <mergeCell ref="F1103:G1103"/>
    <mergeCell ref="H1103:I1103"/>
    <mergeCell ref="J1103:K1103"/>
    <mergeCell ref="B1106:C1106"/>
    <mergeCell ref="D1106:E1106"/>
    <mergeCell ref="F1106:G1106"/>
    <mergeCell ref="H1106:I1106"/>
    <mergeCell ref="J1106:K1106"/>
    <mergeCell ref="B1105:C1105"/>
    <mergeCell ref="D1105:E1105"/>
    <mergeCell ref="F1105:G1105"/>
    <mergeCell ref="H1105:I1105"/>
    <mergeCell ref="J1105:K1105"/>
    <mergeCell ref="B1108:C1108"/>
    <mergeCell ref="D1108:E1108"/>
    <mergeCell ref="F1108:G1108"/>
    <mergeCell ref="H1108:I1108"/>
    <mergeCell ref="J1108:K1108"/>
    <mergeCell ref="B1107:C1107"/>
    <mergeCell ref="D1107:E1107"/>
    <mergeCell ref="F1107:G1107"/>
    <mergeCell ref="H1107:I1107"/>
    <mergeCell ref="J1107:K1107"/>
    <mergeCell ref="B1110:C1110"/>
    <mergeCell ref="D1110:E1110"/>
    <mergeCell ref="F1110:G1110"/>
    <mergeCell ref="H1110:I1110"/>
    <mergeCell ref="J1110:K1110"/>
    <mergeCell ref="B1109:C1109"/>
    <mergeCell ref="D1109:E1109"/>
    <mergeCell ref="F1109:G1109"/>
    <mergeCell ref="H1109:I1109"/>
    <mergeCell ref="J1109:K1109"/>
    <mergeCell ref="B1112:C1112"/>
    <mergeCell ref="D1112:E1112"/>
    <mergeCell ref="F1112:G1112"/>
    <mergeCell ref="H1112:I1112"/>
    <mergeCell ref="J1112:K1112"/>
    <mergeCell ref="B1111:C1111"/>
    <mergeCell ref="D1111:E1111"/>
    <mergeCell ref="F1111:G1111"/>
    <mergeCell ref="H1111:I1111"/>
    <mergeCell ref="J1111:K1111"/>
    <mergeCell ref="B1114:C1114"/>
    <mergeCell ref="D1114:E1114"/>
    <mergeCell ref="F1114:G1114"/>
    <mergeCell ref="H1114:I1114"/>
    <mergeCell ref="J1114:K1114"/>
    <mergeCell ref="B1113:C1113"/>
    <mergeCell ref="D1113:E1113"/>
    <mergeCell ref="F1113:G1113"/>
    <mergeCell ref="H1113:I1113"/>
    <mergeCell ref="J1113:K1113"/>
    <mergeCell ref="B1125:C1125"/>
    <mergeCell ref="D1125:E1125"/>
    <mergeCell ref="F1125:G1125"/>
    <mergeCell ref="H1125:I1125"/>
    <mergeCell ref="J1125:K1125"/>
    <mergeCell ref="B1115:C1115"/>
    <mergeCell ref="D1115:E1115"/>
    <mergeCell ref="F1115:G1115"/>
    <mergeCell ref="H1115:I1115"/>
    <mergeCell ref="J1115:K1115"/>
    <mergeCell ref="B1130:C1130"/>
    <mergeCell ref="D1130:E1130"/>
    <mergeCell ref="F1130:G1130"/>
    <mergeCell ref="H1130:I1130"/>
    <mergeCell ref="J1130:K1130"/>
    <mergeCell ref="B1126:C1126"/>
    <mergeCell ref="D1126:E1126"/>
    <mergeCell ref="F1126:G1126"/>
    <mergeCell ref="H1126:I1126"/>
    <mergeCell ref="J1126:K1126"/>
    <mergeCell ref="B1132:C1132"/>
    <mergeCell ref="D1132:E1132"/>
    <mergeCell ref="F1132:G1132"/>
    <mergeCell ref="H1132:I1132"/>
    <mergeCell ref="J1132:K1132"/>
    <mergeCell ref="B1131:C1131"/>
    <mergeCell ref="D1131:E1131"/>
    <mergeCell ref="F1131:G1131"/>
    <mergeCell ref="H1131:I1131"/>
    <mergeCell ref="J1131:K1131"/>
    <mergeCell ref="B1134:C1134"/>
    <mergeCell ref="D1134:E1134"/>
    <mergeCell ref="F1134:G1134"/>
    <mergeCell ref="H1134:I1134"/>
    <mergeCell ref="J1134:K1134"/>
    <mergeCell ref="B1133:C1133"/>
    <mergeCell ref="D1133:E1133"/>
    <mergeCell ref="F1133:G1133"/>
    <mergeCell ref="H1133:I1133"/>
    <mergeCell ref="J1133:K1133"/>
    <mergeCell ref="B1136:C1136"/>
    <mergeCell ref="D1136:E1136"/>
    <mergeCell ref="F1136:G1136"/>
    <mergeCell ref="H1136:I1136"/>
    <mergeCell ref="J1136:K1136"/>
    <mergeCell ref="B1135:C1135"/>
    <mergeCell ref="D1135:E1135"/>
    <mergeCell ref="F1135:G1135"/>
    <mergeCell ref="H1135:I1135"/>
    <mergeCell ref="J1135:K1135"/>
    <mergeCell ref="B1138:C1138"/>
    <mergeCell ref="D1138:E1138"/>
    <mergeCell ref="F1138:G1138"/>
    <mergeCell ref="H1138:I1138"/>
    <mergeCell ref="J1138:K1138"/>
    <mergeCell ref="B1137:C1137"/>
    <mergeCell ref="D1137:E1137"/>
    <mergeCell ref="F1137:G1137"/>
    <mergeCell ref="H1137:I1137"/>
    <mergeCell ref="J1137:K1137"/>
    <mergeCell ref="B1140:C1140"/>
    <mergeCell ref="D1140:E1140"/>
    <mergeCell ref="F1140:G1140"/>
    <mergeCell ref="H1140:I1140"/>
    <mergeCell ref="J1140:K1140"/>
    <mergeCell ref="B1139:C1139"/>
    <mergeCell ref="D1139:E1139"/>
    <mergeCell ref="F1139:G1139"/>
    <mergeCell ref="H1139:I1139"/>
    <mergeCell ref="J1139:K1139"/>
    <mergeCell ref="B1142:C1142"/>
    <mergeCell ref="D1142:E1142"/>
    <mergeCell ref="F1142:G1142"/>
    <mergeCell ref="H1142:I1142"/>
    <mergeCell ref="J1142:K1142"/>
    <mergeCell ref="B1141:C1141"/>
    <mergeCell ref="D1141:E1141"/>
    <mergeCell ref="F1141:G1141"/>
    <mergeCell ref="H1141:I1141"/>
    <mergeCell ref="J1141:K1141"/>
    <mergeCell ref="B1144:C1144"/>
    <mergeCell ref="D1144:E1144"/>
    <mergeCell ref="F1144:G1144"/>
    <mergeCell ref="H1144:I1144"/>
    <mergeCell ref="J1144:K1144"/>
    <mergeCell ref="B1143:C1143"/>
    <mergeCell ref="D1143:E1143"/>
    <mergeCell ref="F1143:G1143"/>
    <mergeCell ref="H1143:I1143"/>
    <mergeCell ref="J1143:K1143"/>
    <mergeCell ref="B1146:C1146"/>
    <mergeCell ref="D1146:E1146"/>
    <mergeCell ref="F1146:G1146"/>
    <mergeCell ref="H1146:I1146"/>
    <mergeCell ref="J1146:K1146"/>
    <mergeCell ref="B1145:C1145"/>
    <mergeCell ref="D1145:E1145"/>
    <mergeCell ref="F1145:G1145"/>
    <mergeCell ref="H1145:I1145"/>
    <mergeCell ref="J1145:K1145"/>
    <mergeCell ref="B1148:C1148"/>
    <mergeCell ref="D1148:E1148"/>
    <mergeCell ref="F1148:G1148"/>
    <mergeCell ref="H1148:I1148"/>
    <mergeCell ref="J1148:K1148"/>
    <mergeCell ref="B1147:C1147"/>
    <mergeCell ref="D1147:E1147"/>
    <mergeCell ref="F1147:G1147"/>
    <mergeCell ref="H1147:I1147"/>
    <mergeCell ref="J1147:K1147"/>
    <mergeCell ref="B1150:C1150"/>
    <mergeCell ref="D1150:E1150"/>
    <mergeCell ref="F1150:G1150"/>
    <mergeCell ref="H1150:I1150"/>
    <mergeCell ref="J1150:K1150"/>
    <mergeCell ref="B1149:C1149"/>
    <mergeCell ref="D1149:E1149"/>
    <mergeCell ref="F1149:G1149"/>
    <mergeCell ref="H1149:I1149"/>
    <mergeCell ref="J1149:K1149"/>
    <mergeCell ref="B1152:C1152"/>
    <mergeCell ref="D1152:E1152"/>
    <mergeCell ref="F1152:G1152"/>
    <mergeCell ref="H1152:I1152"/>
    <mergeCell ref="J1152:K1152"/>
    <mergeCell ref="B1151:C1151"/>
    <mergeCell ref="D1151:E1151"/>
    <mergeCell ref="F1151:G1151"/>
    <mergeCell ref="H1151:I1151"/>
    <mergeCell ref="J1151:K1151"/>
    <mergeCell ref="B1154:C1154"/>
    <mergeCell ref="D1154:E1154"/>
    <mergeCell ref="F1154:G1154"/>
    <mergeCell ref="H1154:I1154"/>
    <mergeCell ref="J1154:K1154"/>
    <mergeCell ref="B1153:C1153"/>
    <mergeCell ref="D1153:E1153"/>
    <mergeCell ref="F1153:G1153"/>
    <mergeCell ref="H1153:I1153"/>
    <mergeCell ref="J1153:K1153"/>
    <mergeCell ref="B1156:C1156"/>
    <mergeCell ref="D1156:E1156"/>
    <mergeCell ref="F1156:G1156"/>
    <mergeCell ref="H1156:I1156"/>
    <mergeCell ref="J1156:K1156"/>
    <mergeCell ref="B1155:C1155"/>
    <mergeCell ref="D1155:E1155"/>
    <mergeCell ref="F1155:G1155"/>
    <mergeCell ref="H1155:I1155"/>
    <mergeCell ref="J1155:K1155"/>
    <mergeCell ref="B1158:C1158"/>
    <mergeCell ref="D1158:E1158"/>
    <mergeCell ref="F1158:G1158"/>
    <mergeCell ref="H1158:I1158"/>
    <mergeCell ref="J1158:K1158"/>
    <mergeCell ref="B1157:C1157"/>
    <mergeCell ref="D1157:E1157"/>
    <mergeCell ref="F1157:G1157"/>
    <mergeCell ref="H1157:I1157"/>
    <mergeCell ref="J1157:K1157"/>
    <mergeCell ref="B1160:C1160"/>
    <mergeCell ref="D1160:E1160"/>
    <mergeCell ref="F1160:G1160"/>
    <mergeCell ref="H1160:I1160"/>
    <mergeCell ref="J1160:K1160"/>
    <mergeCell ref="B1159:C1159"/>
    <mergeCell ref="D1159:E1159"/>
    <mergeCell ref="F1159:G1159"/>
    <mergeCell ref="H1159:I1159"/>
    <mergeCell ref="J1159:K1159"/>
    <mergeCell ref="B1171:C1171"/>
    <mergeCell ref="D1171:E1171"/>
    <mergeCell ref="F1171:G1171"/>
    <mergeCell ref="H1171:I1171"/>
    <mergeCell ref="J1171:K1171"/>
    <mergeCell ref="B1170:C1170"/>
    <mergeCell ref="D1170:E1170"/>
    <mergeCell ref="F1170:G1170"/>
    <mergeCell ref="H1170:I1170"/>
    <mergeCell ref="J1170:K1170"/>
    <mergeCell ref="B1176:C1176"/>
    <mergeCell ref="D1176:E1176"/>
    <mergeCell ref="F1176:G1176"/>
    <mergeCell ref="H1176:I1176"/>
    <mergeCell ref="J1176:K1176"/>
    <mergeCell ref="B1175:C1175"/>
    <mergeCell ref="D1175:E1175"/>
    <mergeCell ref="F1175:G1175"/>
    <mergeCell ref="H1175:I1175"/>
    <mergeCell ref="J1175:K1175"/>
    <mergeCell ref="B1178:C1178"/>
    <mergeCell ref="D1178:E1178"/>
    <mergeCell ref="F1178:G1178"/>
    <mergeCell ref="H1178:I1178"/>
    <mergeCell ref="J1178:K1178"/>
    <mergeCell ref="B1177:C1177"/>
    <mergeCell ref="D1177:E1177"/>
    <mergeCell ref="F1177:G1177"/>
    <mergeCell ref="H1177:I1177"/>
    <mergeCell ref="J1177:K1177"/>
    <mergeCell ref="B1180:C1180"/>
    <mergeCell ref="D1180:E1180"/>
    <mergeCell ref="F1180:G1180"/>
    <mergeCell ref="H1180:I1180"/>
    <mergeCell ref="J1180:K1180"/>
    <mergeCell ref="B1179:C1179"/>
    <mergeCell ref="D1179:E1179"/>
    <mergeCell ref="F1179:G1179"/>
    <mergeCell ref="H1179:I1179"/>
    <mergeCell ref="J1179:K1179"/>
    <mergeCell ref="B1182:C1182"/>
    <mergeCell ref="D1182:E1182"/>
    <mergeCell ref="F1182:G1182"/>
    <mergeCell ref="H1182:I1182"/>
    <mergeCell ref="J1182:K1182"/>
    <mergeCell ref="B1181:C1181"/>
    <mergeCell ref="D1181:E1181"/>
    <mergeCell ref="F1181:G1181"/>
    <mergeCell ref="H1181:I1181"/>
    <mergeCell ref="J1181:K1181"/>
    <mergeCell ref="B1184:C1184"/>
    <mergeCell ref="D1184:E1184"/>
    <mergeCell ref="F1184:G1184"/>
    <mergeCell ref="H1184:I1184"/>
    <mergeCell ref="J1184:K1184"/>
    <mergeCell ref="B1183:C1183"/>
    <mergeCell ref="D1183:E1183"/>
    <mergeCell ref="F1183:G1183"/>
    <mergeCell ref="H1183:I1183"/>
    <mergeCell ref="J1183:K1183"/>
    <mergeCell ref="B1186:C1186"/>
    <mergeCell ref="D1186:E1186"/>
    <mergeCell ref="F1186:G1186"/>
    <mergeCell ref="H1186:I1186"/>
    <mergeCell ref="J1186:K1186"/>
    <mergeCell ref="B1185:C1185"/>
    <mergeCell ref="D1185:E1185"/>
    <mergeCell ref="F1185:G1185"/>
    <mergeCell ref="H1185:I1185"/>
    <mergeCell ref="J1185:K1185"/>
    <mergeCell ref="B1188:C1188"/>
    <mergeCell ref="D1188:E1188"/>
    <mergeCell ref="F1188:G1188"/>
    <mergeCell ref="H1188:I1188"/>
    <mergeCell ref="J1188:K1188"/>
    <mergeCell ref="B1187:C1187"/>
    <mergeCell ref="D1187:E1187"/>
    <mergeCell ref="F1187:G1187"/>
    <mergeCell ref="H1187:I1187"/>
    <mergeCell ref="J1187:K1187"/>
    <mergeCell ref="B1190:C1190"/>
    <mergeCell ref="D1190:E1190"/>
    <mergeCell ref="F1190:G1190"/>
    <mergeCell ref="H1190:I1190"/>
    <mergeCell ref="J1190:K1190"/>
    <mergeCell ref="B1189:C1189"/>
    <mergeCell ref="D1189:E1189"/>
    <mergeCell ref="F1189:G1189"/>
    <mergeCell ref="H1189:I1189"/>
    <mergeCell ref="J1189:K1189"/>
    <mergeCell ref="B1192:C1192"/>
    <mergeCell ref="D1192:E1192"/>
    <mergeCell ref="F1192:G1192"/>
    <mergeCell ref="H1192:I1192"/>
    <mergeCell ref="J1192:K1192"/>
    <mergeCell ref="B1191:C1191"/>
    <mergeCell ref="D1191:E1191"/>
    <mergeCell ref="F1191:G1191"/>
    <mergeCell ref="H1191:I1191"/>
    <mergeCell ref="J1191:K1191"/>
    <mergeCell ref="B1194:C1194"/>
    <mergeCell ref="D1194:E1194"/>
    <mergeCell ref="F1194:G1194"/>
    <mergeCell ref="H1194:I1194"/>
    <mergeCell ref="J1194:K1194"/>
    <mergeCell ref="B1193:C1193"/>
    <mergeCell ref="D1193:E1193"/>
    <mergeCell ref="F1193:G1193"/>
    <mergeCell ref="H1193:I1193"/>
    <mergeCell ref="J1193:K1193"/>
    <mergeCell ref="B1196:C1196"/>
    <mergeCell ref="D1196:E1196"/>
    <mergeCell ref="F1196:G1196"/>
    <mergeCell ref="H1196:I1196"/>
    <mergeCell ref="J1196:K1196"/>
    <mergeCell ref="B1195:C1195"/>
    <mergeCell ref="D1195:E1195"/>
    <mergeCell ref="F1195:G1195"/>
    <mergeCell ref="H1195:I1195"/>
    <mergeCell ref="J1195:K1195"/>
    <mergeCell ref="B1198:C1198"/>
    <mergeCell ref="D1198:E1198"/>
    <mergeCell ref="F1198:G1198"/>
    <mergeCell ref="H1198:I1198"/>
    <mergeCell ref="J1198:K1198"/>
    <mergeCell ref="B1197:C1197"/>
    <mergeCell ref="D1197:E1197"/>
    <mergeCell ref="F1197:G1197"/>
    <mergeCell ref="H1197:I1197"/>
    <mergeCell ref="J1197:K1197"/>
    <mergeCell ref="B1200:C1200"/>
    <mergeCell ref="D1200:E1200"/>
    <mergeCell ref="F1200:G1200"/>
    <mergeCell ref="H1200:I1200"/>
    <mergeCell ref="J1200:K1200"/>
    <mergeCell ref="B1199:C1199"/>
    <mergeCell ref="D1199:E1199"/>
    <mergeCell ref="F1199:G1199"/>
    <mergeCell ref="H1199:I1199"/>
    <mergeCell ref="J1199:K1199"/>
    <mergeCell ref="B1202:C1202"/>
    <mergeCell ref="D1202:E1202"/>
    <mergeCell ref="F1202:G1202"/>
    <mergeCell ref="H1202:I1202"/>
    <mergeCell ref="J1202:K1202"/>
    <mergeCell ref="B1201:C1201"/>
    <mergeCell ref="D1201:E1201"/>
    <mergeCell ref="F1201:G1201"/>
    <mergeCell ref="H1201:I1201"/>
    <mergeCell ref="J1201:K1201"/>
    <mergeCell ref="B1204:C1204"/>
    <mergeCell ref="D1204:E1204"/>
    <mergeCell ref="F1204:G1204"/>
    <mergeCell ref="H1204:I1204"/>
    <mergeCell ref="J1204:K1204"/>
    <mergeCell ref="B1203:C1203"/>
    <mergeCell ref="D1203:E1203"/>
    <mergeCell ref="F1203:G1203"/>
    <mergeCell ref="H1203:I1203"/>
    <mergeCell ref="J1203:K1203"/>
    <mergeCell ref="B1215:C1215"/>
    <mergeCell ref="D1215:E1215"/>
    <mergeCell ref="F1215:G1215"/>
    <mergeCell ref="H1215:I1215"/>
    <mergeCell ref="J1215:K1215"/>
    <mergeCell ref="B1205:C1205"/>
    <mergeCell ref="D1205:E1205"/>
    <mergeCell ref="F1205:G1205"/>
    <mergeCell ref="H1205:I1205"/>
    <mergeCell ref="J1205:K1205"/>
    <mergeCell ref="B1220:C1220"/>
    <mergeCell ref="D1220:E1220"/>
    <mergeCell ref="F1220:G1220"/>
    <mergeCell ref="H1220:I1220"/>
    <mergeCell ref="J1220:K1220"/>
    <mergeCell ref="B1216:C1216"/>
    <mergeCell ref="D1216:E1216"/>
    <mergeCell ref="F1216:G1216"/>
    <mergeCell ref="H1216:I1216"/>
    <mergeCell ref="J1216:K1216"/>
    <mergeCell ref="B1222:C1222"/>
    <mergeCell ref="D1222:E1222"/>
    <mergeCell ref="F1222:G1222"/>
    <mergeCell ref="H1222:I1222"/>
    <mergeCell ref="J1222:K1222"/>
    <mergeCell ref="B1221:C1221"/>
    <mergeCell ref="D1221:E1221"/>
    <mergeCell ref="F1221:G1221"/>
    <mergeCell ref="H1221:I1221"/>
    <mergeCell ref="J1221:K1221"/>
    <mergeCell ref="B1224:C1224"/>
    <mergeCell ref="D1224:E1224"/>
    <mergeCell ref="F1224:G1224"/>
    <mergeCell ref="H1224:I1224"/>
    <mergeCell ref="J1224:K1224"/>
    <mergeCell ref="B1223:C1223"/>
    <mergeCell ref="D1223:E1223"/>
    <mergeCell ref="F1223:G1223"/>
    <mergeCell ref="H1223:I1223"/>
    <mergeCell ref="J1223:K1223"/>
    <mergeCell ref="B1226:C1226"/>
    <mergeCell ref="D1226:E1226"/>
    <mergeCell ref="F1226:G1226"/>
    <mergeCell ref="H1226:I1226"/>
    <mergeCell ref="J1226:K1226"/>
    <mergeCell ref="B1225:C1225"/>
    <mergeCell ref="D1225:E1225"/>
    <mergeCell ref="F1225:G1225"/>
    <mergeCell ref="H1225:I1225"/>
    <mergeCell ref="J1225:K1225"/>
    <mergeCell ref="B1228:C1228"/>
    <mergeCell ref="D1228:E1228"/>
    <mergeCell ref="F1228:G1228"/>
    <mergeCell ref="H1228:I1228"/>
    <mergeCell ref="J1228:K1228"/>
    <mergeCell ref="B1227:C1227"/>
    <mergeCell ref="D1227:E1227"/>
    <mergeCell ref="F1227:G1227"/>
    <mergeCell ref="H1227:I1227"/>
    <mergeCell ref="J1227:K1227"/>
    <mergeCell ref="B1230:C1230"/>
    <mergeCell ref="D1230:E1230"/>
    <mergeCell ref="F1230:G1230"/>
    <mergeCell ref="H1230:I1230"/>
    <mergeCell ref="J1230:K1230"/>
    <mergeCell ref="B1229:C1229"/>
    <mergeCell ref="D1229:E1229"/>
    <mergeCell ref="F1229:G1229"/>
    <mergeCell ref="H1229:I1229"/>
    <mergeCell ref="J1229:K1229"/>
    <mergeCell ref="B1232:C1232"/>
    <mergeCell ref="D1232:E1232"/>
    <mergeCell ref="F1232:G1232"/>
    <mergeCell ref="H1232:I1232"/>
    <mergeCell ref="J1232:K1232"/>
    <mergeCell ref="B1231:C1231"/>
    <mergeCell ref="D1231:E1231"/>
    <mergeCell ref="F1231:G1231"/>
    <mergeCell ref="H1231:I1231"/>
    <mergeCell ref="J1231:K1231"/>
    <mergeCell ref="B1234:C1234"/>
    <mergeCell ref="D1234:E1234"/>
    <mergeCell ref="F1234:G1234"/>
    <mergeCell ref="H1234:I1234"/>
    <mergeCell ref="J1234:K1234"/>
    <mergeCell ref="B1233:C1233"/>
    <mergeCell ref="D1233:E1233"/>
    <mergeCell ref="F1233:G1233"/>
    <mergeCell ref="H1233:I1233"/>
    <mergeCell ref="J1233:K1233"/>
    <mergeCell ref="B1236:C1236"/>
    <mergeCell ref="D1236:E1236"/>
    <mergeCell ref="F1236:G1236"/>
    <mergeCell ref="H1236:I1236"/>
    <mergeCell ref="J1236:K1236"/>
    <mergeCell ref="B1235:C1235"/>
    <mergeCell ref="D1235:E1235"/>
    <mergeCell ref="F1235:G1235"/>
    <mergeCell ref="H1235:I1235"/>
    <mergeCell ref="J1235:K1235"/>
    <mergeCell ref="B1238:C1238"/>
    <mergeCell ref="D1238:E1238"/>
    <mergeCell ref="F1238:G1238"/>
    <mergeCell ref="H1238:I1238"/>
    <mergeCell ref="J1238:K1238"/>
    <mergeCell ref="B1237:C1237"/>
    <mergeCell ref="D1237:E1237"/>
    <mergeCell ref="F1237:G1237"/>
    <mergeCell ref="H1237:I1237"/>
    <mergeCell ref="J1237:K1237"/>
    <mergeCell ref="B1240:C1240"/>
    <mergeCell ref="D1240:E1240"/>
    <mergeCell ref="F1240:G1240"/>
    <mergeCell ref="H1240:I1240"/>
    <mergeCell ref="J1240:K1240"/>
    <mergeCell ref="B1239:C1239"/>
    <mergeCell ref="D1239:E1239"/>
    <mergeCell ref="F1239:G1239"/>
    <mergeCell ref="H1239:I1239"/>
    <mergeCell ref="J1239:K1239"/>
    <mergeCell ref="D1242:E1242"/>
    <mergeCell ref="F1242:G1242"/>
    <mergeCell ref="H1242:I1242"/>
    <mergeCell ref="J1242:K1242"/>
    <mergeCell ref="B1241:C1241"/>
    <mergeCell ref="D1241:E1241"/>
    <mergeCell ref="F1241:G1241"/>
    <mergeCell ref="H1241:I1241"/>
    <mergeCell ref="J1241:K1241"/>
    <mergeCell ref="B1244:C1244"/>
    <mergeCell ref="D1244:E1244"/>
    <mergeCell ref="F1244:G1244"/>
    <mergeCell ref="H1244:I1244"/>
    <mergeCell ref="J1244:K1244"/>
    <mergeCell ref="B1243:C1243"/>
    <mergeCell ref="D1243:E1243"/>
    <mergeCell ref="F1243:G1243"/>
    <mergeCell ref="H1243:I1243"/>
    <mergeCell ref="J1243:K1243"/>
    <mergeCell ref="B1250:C1250"/>
    <mergeCell ref="D1250:E1250"/>
    <mergeCell ref="F1250:G1250"/>
    <mergeCell ref="H1250:I1250"/>
    <mergeCell ref="J1250:K1250"/>
    <mergeCell ref="B1249:C1249"/>
    <mergeCell ref="D1249:E1249"/>
    <mergeCell ref="F1249:G1249"/>
    <mergeCell ref="H1249:I1249"/>
    <mergeCell ref="J1249:K1249"/>
    <mergeCell ref="J621:K621"/>
    <mergeCell ref="B1246:C1246"/>
    <mergeCell ref="D1246:E1246"/>
    <mergeCell ref="F1246:G1246"/>
    <mergeCell ref="H1246:I1246"/>
    <mergeCell ref="J1246:K1246"/>
    <mergeCell ref="B1245:C1245"/>
    <mergeCell ref="D1245:E1245"/>
    <mergeCell ref="F1245:G1245"/>
    <mergeCell ref="H1245:I1245"/>
    <mergeCell ref="J1245:K1245"/>
    <mergeCell ref="B1248:C1248"/>
    <mergeCell ref="D1248:E1248"/>
    <mergeCell ref="F1248:G1248"/>
    <mergeCell ref="H1248:I1248"/>
    <mergeCell ref="J1248:K1248"/>
    <mergeCell ref="B1247:C1247"/>
    <mergeCell ref="D1247:E1247"/>
    <mergeCell ref="F1247:G1247"/>
    <mergeCell ref="H1247:I1247"/>
    <mergeCell ref="J1247:K1247"/>
    <mergeCell ref="B1242:C1242"/>
  </mergeCells>
  <pageMargins left="0.7" right="0.7" top="0.75" bottom="0.75" header="0.3" footer="0.3"/>
  <pageSetup paperSize="9" scale="89" fitToHeight="0" orientation="portrait" r:id="rId1"/>
  <rowBreaks count="15" manualBreakCount="15">
    <brk id="42" max="16383" man="1"/>
    <brk id="83" max="16383" man="1"/>
    <brk id="124" max="16383" man="1"/>
    <brk id="165" max="16383" man="1"/>
    <brk id="206" max="16383" man="1"/>
    <brk id="247" max="16383" man="1"/>
    <brk id="288" max="16383" man="1"/>
    <brk id="329" max="16383" man="1"/>
    <brk id="370" max="16383" man="1"/>
    <brk id="411" max="16383" man="1"/>
    <brk id="452" max="16383" man="1"/>
    <brk id="493" max="16383" man="1"/>
    <brk id="534" max="16383" man="1"/>
    <brk id="575" max="16383" man="1"/>
    <brk id="616" max="16383" man="1"/>
  </rowBreaks>
  <colBreaks count="3" manualBreakCount="3">
    <brk id="10" max="1048575" man="1"/>
    <brk id="12" max="1048575" man="1"/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kopsavilkums</vt:lpstr>
      <vt:lpstr>protokoli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Koops</dc:creator>
  <cp:lastModifiedBy>User</cp:lastModifiedBy>
  <cp:lastPrinted>2026-07-12T14:15:20Z</cp:lastPrinted>
  <dcterms:created xsi:type="dcterms:W3CDTF">2026-07-12T08:09:47Z</dcterms:created>
  <dcterms:modified xsi:type="dcterms:W3CDTF">2026-07-13T11:32:02Z</dcterms:modified>
</cp:coreProperties>
</file>